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updateLinks="never"/>
  <bookViews>
    <workbookView xWindow="0" yWindow="0" windowWidth="20730" windowHeight="11760" activeTab="1"/>
  </bookViews>
  <sheets>
    <sheet name="Параметры ПФ" sheetId="7" r:id="rId1"/>
    <sheet name="Стандартные программы" sheetId="5" r:id="rId2"/>
    <sheet name="Дистанционные программы" sheetId="8" r:id="rId3"/>
    <sheet name="Очно-заочные программы" sheetId="9" r:id="rId4"/>
    <sheet name="Адаптированные программы" sheetId="10" r:id="rId5"/>
  </sheets>
  <externalReferences>
    <externalReference r:id="rId6"/>
    <externalReference r:id="rId7"/>
  </externalReferences>
  <definedNames>
    <definedName name="_xlnm._FilterDatabase" localSheetId="1" hidden="1">'Стандартные программы'!$A$1:$M$38</definedName>
  </definedNames>
  <calcPr calcId="1257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5"/>
  <c r="I2"/>
  <c r="J2" s="1"/>
  <c r="K2" s="1"/>
  <c r="L2" s="1"/>
  <c r="I4"/>
  <c r="J4" s="1"/>
  <c r="K4" s="1"/>
  <c r="L4" s="1"/>
  <c r="I6"/>
  <c r="J6" s="1"/>
  <c r="K6" s="1"/>
  <c r="L6" s="1"/>
  <c r="I8"/>
  <c r="J8" s="1"/>
  <c r="K8" s="1"/>
  <c r="L8" s="1"/>
  <c r="I10"/>
  <c r="J10" s="1"/>
  <c r="K10" s="1"/>
  <c r="L10" s="1"/>
  <c r="I12"/>
  <c r="J12" s="1"/>
  <c r="K12" s="1"/>
  <c r="L12" s="1"/>
  <c r="I14"/>
  <c r="J14" s="1"/>
  <c r="K14" s="1"/>
  <c r="L14" s="1"/>
  <c r="I16"/>
  <c r="J16" s="1"/>
  <c r="K16" s="1"/>
  <c r="L16" s="1"/>
  <c r="I18"/>
  <c r="J18" s="1"/>
  <c r="K18" s="1"/>
  <c r="L18" s="1"/>
  <c r="I20"/>
  <c r="J20" s="1"/>
  <c r="K20" s="1"/>
  <c r="L20" s="1"/>
  <c r="I22"/>
  <c r="J22" s="1"/>
  <c r="K22" s="1"/>
  <c r="L22" s="1"/>
  <c r="I24"/>
  <c r="J24" s="1"/>
  <c r="K24" s="1"/>
  <c r="L24" s="1"/>
  <c r="I26"/>
  <c r="J26" s="1"/>
  <c r="K26" s="1"/>
  <c r="L26" s="1"/>
  <c r="I28"/>
  <c r="J28" s="1"/>
  <c r="K28" s="1"/>
  <c r="L28" s="1"/>
  <c r="I30"/>
  <c r="J30" s="1"/>
  <c r="K30" s="1"/>
  <c r="L30" s="1"/>
  <c r="I32"/>
  <c r="J32" s="1"/>
  <c r="K32" s="1"/>
  <c r="L32" s="1"/>
  <c r="I34"/>
  <c r="J34" s="1"/>
  <c r="K34" s="1"/>
  <c r="L34" s="1"/>
  <c r="I35"/>
  <c r="J35"/>
  <c r="K35"/>
  <c r="L35"/>
  <c r="M35"/>
  <c r="M34" l="1"/>
  <c r="M32"/>
  <c r="M30"/>
  <c r="M28"/>
  <c r="M26"/>
  <c r="M24"/>
  <c r="M22"/>
  <c r="M20"/>
  <c r="M18"/>
  <c r="M16"/>
  <c r="M14"/>
  <c r="M12"/>
  <c r="M10"/>
  <c r="M8"/>
  <c r="M6"/>
  <c r="M4"/>
  <c r="M2"/>
  <c r="I3"/>
  <c r="I27"/>
  <c r="I29"/>
  <c r="I31"/>
  <c r="J31" s="1"/>
  <c r="K31" s="1"/>
  <c r="I33"/>
  <c r="J33" s="1"/>
  <c r="K33" s="1"/>
  <c r="L33" s="1"/>
  <c r="I25"/>
  <c r="J25"/>
  <c r="J27"/>
  <c r="K25"/>
  <c r="K27"/>
  <c r="L25"/>
  <c r="M31" l="1"/>
  <c r="L31"/>
  <c r="I13"/>
  <c r="J13"/>
  <c r="L3" i="7"/>
  <c r="J3"/>
  <c r="K13" i="5" s="1"/>
  <c r="L13" l="1"/>
  <c r="M13"/>
  <c r="J17" i="7"/>
  <c r="J16"/>
  <c r="J15"/>
  <c r="J13"/>
  <c r="J14" s="1"/>
  <c r="J12" s="1"/>
  <c r="I2" i="10" l="1"/>
  <c r="H4" i="7" l="1"/>
  <c r="G39" i="9"/>
  <c r="G39" i="10"/>
  <c r="G39" i="8"/>
  <c r="F4" i="7" l="1"/>
  <c r="G18" l="1"/>
  <c r="H18"/>
  <c r="I18"/>
  <c r="J18"/>
  <c r="K18"/>
  <c r="F18"/>
  <c r="J3" i="5" l="1"/>
  <c r="M3" i="7"/>
  <c r="K3" i="5"/>
  <c r="M3" s="1"/>
  <c r="I5"/>
  <c r="I7"/>
  <c r="I9"/>
  <c r="J9" s="1"/>
  <c r="I11"/>
  <c r="I15"/>
  <c r="J15" s="1"/>
  <c r="I17"/>
  <c r="I19"/>
  <c r="I21"/>
  <c r="I23"/>
  <c r="L3" l="1"/>
  <c r="J29"/>
  <c r="J23"/>
  <c r="J21"/>
  <c r="J19"/>
  <c r="J17"/>
  <c r="J11"/>
  <c r="J7"/>
  <c r="J5"/>
  <c r="N3" i="7"/>
  <c r="M4" s="1"/>
  <c r="M33" i="5" l="1"/>
  <c r="K5"/>
  <c r="K7"/>
  <c r="K9"/>
  <c r="K11"/>
  <c r="K15"/>
  <c r="K17"/>
  <c r="K19"/>
  <c r="K21"/>
  <c r="K23"/>
  <c r="K29"/>
  <c r="I5" i="8"/>
  <c r="J5" s="1"/>
  <c r="K5" s="1"/>
  <c r="I4"/>
  <c r="I2" i="9"/>
  <c r="I6"/>
  <c r="I22"/>
  <c r="I38"/>
  <c r="I21"/>
  <c r="I37"/>
  <c r="I8"/>
  <c r="I24"/>
  <c r="I7"/>
  <c r="I4"/>
  <c r="I3"/>
  <c r="I18"/>
  <c r="I34"/>
  <c r="I17"/>
  <c r="I33"/>
  <c r="I20"/>
  <c r="I36"/>
  <c r="I35"/>
  <c r="I19"/>
  <c r="I31"/>
  <c r="I5"/>
  <c r="I14"/>
  <c r="I30"/>
  <c r="I13"/>
  <c r="I29"/>
  <c r="I16"/>
  <c r="I32"/>
  <c r="I15"/>
  <c r="I10"/>
  <c r="I26"/>
  <c r="I9"/>
  <c r="I25"/>
  <c r="I12"/>
  <c r="I28"/>
  <c r="I11"/>
  <c r="I27"/>
  <c r="I23"/>
  <c r="I3" i="10"/>
  <c r="I8"/>
  <c r="I24"/>
  <c r="I19"/>
  <c r="I35"/>
  <c r="I10"/>
  <c r="I26"/>
  <c r="I9"/>
  <c r="I25"/>
  <c r="I20"/>
  <c r="I36"/>
  <c r="I15"/>
  <c r="I31"/>
  <c r="I6"/>
  <c r="I22"/>
  <c r="I38"/>
  <c r="I21"/>
  <c r="I37"/>
  <c r="I33"/>
  <c r="I5"/>
  <c r="I16"/>
  <c r="I32"/>
  <c r="I11"/>
  <c r="I27"/>
  <c r="I18"/>
  <c r="I34"/>
  <c r="I17"/>
  <c r="I4"/>
  <c r="I12"/>
  <c r="I28"/>
  <c r="I7"/>
  <c r="I23"/>
  <c r="I14"/>
  <c r="I30"/>
  <c r="I13"/>
  <c r="I29"/>
  <c r="I13" i="8"/>
  <c r="I29"/>
  <c r="I28"/>
  <c r="I34"/>
  <c r="I16"/>
  <c r="I15"/>
  <c r="I31"/>
  <c r="I14"/>
  <c r="I8"/>
  <c r="I3"/>
  <c r="I9"/>
  <c r="I25"/>
  <c r="I24"/>
  <c r="I26"/>
  <c r="I12"/>
  <c r="I11"/>
  <c r="I27"/>
  <c r="I10"/>
  <c r="I38"/>
  <c r="I30"/>
  <c r="I21"/>
  <c r="I37"/>
  <c r="I18"/>
  <c r="I36"/>
  <c r="I23"/>
  <c r="I6"/>
  <c r="I2"/>
  <c r="J2" s="1"/>
  <c r="K2" s="1"/>
  <c r="I17"/>
  <c r="I33"/>
  <c r="I32"/>
  <c r="I20"/>
  <c r="I19"/>
  <c r="I35"/>
  <c r="I22"/>
  <c r="I7"/>
  <c r="L29" i="5" l="1"/>
  <c r="M29"/>
  <c r="L27"/>
  <c r="M27"/>
  <c r="M25"/>
  <c r="L23"/>
  <c r="M23"/>
  <c r="L21"/>
  <c r="M21"/>
  <c r="L19"/>
  <c r="M19"/>
  <c r="L17"/>
  <c r="M17"/>
  <c r="L11"/>
  <c r="M11"/>
  <c r="L7"/>
  <c r="M7"/>
  <c r="L5"/>
  <c r="M5"/>
  <c r="L15"/>
  <c r="M15"/>
  <c r="L9"/>
  <c r="M9"/>
  <c r="J33" i="8"/>
  <c r="J22"/>
  <c r="J32"/>
  <c r="J6"/>
  <c r="K6" s="1"/>
  <c r="J37"/>
  <c r="J38"/>
  <c r="J12"/>
  <c r="J9"/>
  <c r="K9" s="1"/>
  <c r="J31"/>
  <c r="J28"/>
  <c r="J29" i="10"/>
  <c r="K29" s="1"/>
  <c r="J23"/>
  <c r="K23" s="1"/>
  <c r="J2"/>
  <c r="K2" s="1"/>
  <c r="J18"/>
  <c r="K18" s="1"/>
  <c r="J16"/>
  <c r="K16" s="1"/>
  <c r="J21"/>
  <c r="K21" s="1"/>
  <c r="J31"/>
  <c r="K31" s="1"/>
  <c r="J25"/>
  <c r="K25" s="1"/>
  <c r="J35"/>
  <c r="K35" s="1"/>
  <c r="J3"/>
  <c r="K3" s="1"/>
  <c r="M3" s="1"/>
  <c r="J23" i="9"/>
  <c r="J12"/>
  <c r="J10"/>
  <c r="J29"/>
  <c r="J5"/>
  <c r="J36"/>
  <c r="J34"/>
  <c r="J7"/>
  <c r="J21"/>
  <c r="J2"/>
  <c r="J7" i="8"/>
  <c r="K7" s="1"/>
  <c r="L2"/>
  <c r="J18"/>
  <c r="J30"/>
  <c r="J11"/>
  <c r="J25"/>
  <c r="J14"/>
  <c r="J34"/>
  <c r="J14" i="10"/>
  <c r="K14" s="1"/>
  <c r="J12"/>
  <c r="K12" s="1"/>
  <c r="J34"/>
  <c r="K34" s="1"/>
  <c r="J32"/>
  <c r="K32" s="1"/>
  <c r="J37"/>
  <c r="K37" s="1"/>
  <c r="J6"/>
  <c r="K6" s="1"/>
  <c r="J20"/>
  <c r="K20" s="1"/>
  <c r="J10"/>
  <c r="K10" s="1"/>
  <c r="J8"/>
  <c r="K8" s="1"/>
  <c r="J28" i="9"/>
  <c r="J26"/>
  <c r="J16"/>
  <c r="J14"/>
  <c r="J35"/>
  <c r="J17"/>
  <c r="J4"/>
  <c r="J37"/>
  <c r="J6"/>
  <c r="J20" i="8"/>
  <c r="J19"/>
  <c r="J17"/>
  <c r="J36"/>
  <c r="J4"/>
  <c r="K4" s="1"/>
  <c r="J27"/>
  <c r="J24"/>
  <c r="J8"/>
  <c r="K8" s="1"/>
  <c r="J16"/>
  <c r="J13"/>
  <c r="J30" i="10"/>
  <c r="K30" s="1"/>
  <c r="J28"/>
  <c r="K28" s="1"/>
  <c r="J17"/>
  <c r="K17" s="1"/>
  <c r="J11"/>
  <c r="K11" s="1"/>
  <c r="J33"/>
  <c r="K33" s="1"/>
  <c r="J22"/>
  <c r="K22" s="1"/>
  <c r="J36"/>
  <c r="K36" s="1"/>
  <c r="J26"/>
  <c r="K26" s="1"/>
  <c r="J24"/>
  <c r="K24" s="1"/>
  <c r="J11" i="9"/>
  <c r="J9"/>
  <c r="J32"/>
  <c r="J30"/>
  <c r="J19"/>
  <c r="J33"/>
  <c r="J3"/>
  <c r="J8"/>
  <c r="J22"/>
  <c r="J35" i="8"/>
  <c r="J23"/>
  <c r="J21"/>
  <c r="J10"/>
  <c r="K10" s="1"/>
  <c r="J26"/>
  <c r="J3"/>
  <c r="K3" s="1"/>
  <c r="J15"/>
  <c r="J29"/>
  <c r="J13" i="10"/>
  <c r="K13" s="1"/>
  <c r="J7"/>
  <c r="K7" s="1"/>
  <c r="J4"/>
  <c r="K4" s="1"/>
  <c r="J27"/>
  <c r="K27" s="1"/>
  <c r="J5"/>
  <c r="K5" s="1"/>
  <c r="J38"/>
  <c r="K38" s="1"/>
  <c r="J15"/>
  <c r="K15" s="1"/>
  <c r="J9"/>
  <c r="K9" s="1"/>
  <c r="J19"/>
  <c r="K19" s="1"/>
  <c r="J27" i="9"/>
  <c r="J25"/>
  <c r="J15"/>
  <c r="J13"/>
  <c r="J31"/>
  <c r="J20"/>
  <c r="J18"/>
  <c r="J24"/>
  <c r="J38"/>
  <c r="O3" i="5"/>
  <c r="L36" l="1"/>
  <c r="K31" i="9"/>
  <c r="K24"/>
  <c r="K20"/>
  <c r="K13"/>
  <c r="K25"/>
  <c r="M4" i="10"/>
  <c r="K15" i="8"/>
  <c r="K26"/>
  <c r="K21"/>
  <c r="K35"/>
  <c r="K22" i="9"/>
  <c r="K3"/>
  <c r="K19"/>
  <c r="K32"/>
  <c r="K11"/>
  <c r="K16" i="8"/>
  <c r="K24"/>
  <c r="K17"/>
  <c r="K20"/>
  <c r="K37" i="9"/>
  <c r="K17"/>
  <c r="K14"/>
  <c r="K26"/>
  <c r="K34" i="8"/>
  <c r="K25"/>
  <c r="K30"/>
  <c r="K2" i="9"/>
  <c r="K7"/>
  <c r="K36"/>
  <c r="K29"/>
  <c r="K12"/>
  <c r="K28" i="8"/>
  <c r="K38"/>
  <c r="K22"/>
  <c r="K18" i="9"/>
  <c r="K15"/>
  <c r="K27"/>
  <c r="K29" i="8"/>
  <c r="K23"/>
  <c r="K8" i="9"/>
  <c r="K33"/>
  <c r="K30"/>
  <c r="K9"/>
  <c r="K13" i="8"/>
  <c r="K27"/>
  <c r="K36"/>
  <c r="K19"/>
  <c r="K6" i="9"/>
  <c r="K4"/>
  <c r="K35"/>
  <c r="K16"/>
  <c r="K28"/>
  <c r="K14" i="8"/>
  <c r="K11"/>
  <c r="K18"/>
  <c r="K21" i="9"/>
  <c r="K34"/>
  <c r="K5"/>
  <c r="K10"/>
  <c r="K23"/>
  <c r="K31" i="8"/>
  <c r="K12"/>
  <c r="K37"/>
  <c r="K32"/>
  <c r="K33"/>
  <c r="K38" i="9"/>
  <c r="L5" i="8"/>
  <c r="M5"/>
  <c r="M2"/>
  <c r="L2" i="10" l="1"/>
  <c r="M2"/>
  <c r="L33" i="8"/>
  <c r="M33"/>
  <c r="L37"/>
  <c r="M37"/>
  <c r="L31" i="10"/>
  <c r="M31"/>
  <c r="L5" i="9"/>
  <c r="M5"/>
  <c r="L21"/>
  <c r="M21"/>
  <c r="L14" i="8"/>
  <c r="M14"/>
  <c r="L32" i="10"/>
  <c r="M32"/>
  <c r="L10"/>
  <c r="M10"/>
  <c r="L19" i="8"/>
  <c r="M19"/>
  <c r="L13"/>
  <c r="M13"/>
  <c r="L11" i="10"/>
  <c r="M11"/>
  <c r="L26"/>
  <c r="M26"/>
  <c r="L30" i="9"/>
  <c r="M30"/>
  <c r="L29" i="8"/>
  <c r="M29"/>
  <c r="L27" i="10"/>
  <c r="M27"/>
  <c r="L9"/>
  <c r="M9"/>
  <c r="L15" i="9"/>
  <c r="M15"/>
  <c r="L7"/>
  <c r="M7"/>
  <c r="L20" i="10"/>
  <c r="M20"/>
  <c r="L26" i="9"/>
  <c r="M26"/>
  <c r="L11"/>
  <c r="M11"/>
  <c r="L19"/>
  <c r="M19"/>
  <c r="L15" i="8"/>
  <c r="M15"/>
  <c r="L20" i="9"/>
  <c r="M20"/>
  <c r="L31"/>
  <c r="M31"/>
  <c r="L38"/>
  <c r="M38"/>
  <c r="L29" i="10"/>
  <c r="M29"/>
  <c r="L23" i="9"/>
  <c r="M23"/>
  <c r="L16" i="10"/>
  <c r="M16"/>
  <c r="L28" i="9"/>
  <c r="M28"/>
  <c r="L35"/>
  <c r="M35"/>
  <c r="L22" i="10"/>
  <c r="M22"/>
  <c r="L23" i="8"/>
  <c r="M23"/>
  <c r="L27" i="9"/>
  <c r="M27"/>
  <c r="L6" i="8"/>
  <c r="M6"/>
  <c r="L9"/>
  <c r="M9"/>
  <c r="L23" i="10"/>
  <c r="M23"/>
  <c r="L21"/>
  <c r="M21"/>
  <c r="L3"/>
  <c r="L29" i="9"/>
  <c r="M29"/>
  <c r="L30" i="8"/>
  <c r="M30"/>
  <c r="L34"/>
  <c r="M34"/>
  <c r="L34" i="10"/>
  <c r="M34"/>
  <c r="L17" i="9"/>
  <c r="M17"/>
  <c r="L20" i="8"/>
  <c r="M20"/>
  <c r="L4"/>
  <c r="M4"/>
  <c r="L16"/>
  <c r="M16"/>
  <c r="L17" i="10"/>
  <c r="M17"/>
  <c r="L36"/>
  <c r="M36"/>
  <c r="L22" i="9"/>
  <c r="M22"/>
  <c r="L21" i="8"/>
  <c r="M21"/>
  <c r="L4" i="10"/>
  <c r="L15"/>
  <c r="M15"/>
  <c r="L25" i="9"/>
  <c r="M25"/>
  <c r="L32" i="8"/>
  <c r="M32"/>
  <c r="L12"/>
  <c r="M12"/>
  <c r="L35" i="10"/>
  <c r="M35"/>
  <c r="L10" i="9"/>
  <c r="M10"/>
  <c r="L34"/>
  <c r="M34"/>
  <c r="L7" i="8"/>
  <c r="M7"/>
  <c r="L11"/>
  <c r="M11"/>
  <c r="L12" i="10"/>
  <c r="M12"/>
  <c r="L6"/>
  <c r="M6"/>
  <c r="L6" i="9"/>
  <c r="M6"/>
  <c r="L36" i="8"/>
  <c r="M36"/>
  <c r="L8"/>
  <c r="M8"/>
  <c r="L28" i="10"/>
  <c r="M28"/>
  <c r="L9" i="9"/>
  <c r="M9"/>
  <c r="L33"/>
  <c r="M33"/>
  <c r="L3" i="8"/>
  <c r="M3"/>
  <c r="L7" i="10"/>
  <c r="M7"/>
  <c r="L38"/>
  <c r="M38"/>
  <c r="L18" i="9"/>
  <c r="M18"/>
  <c r="L38" i="8"/>
  <c r="M38"/>
  <c r="L18" i="10"/>
  <c r="M18"/>
  <c r="L12" i="9"/>
  <c r="M12"/>
  <c r="L36"/>
  <c r="M36"/>
  <c r="L2"/>
  <c r="M2"/>
  <c r="L24" i="10"/>
  <c r="M24"/>
  <c r="L32" i="9"/>
  <c r="M32"/>
  <c r="L3"/>
  <c r="M3"/>
  <c r="L35" i="8"/>
  <c r="M35"/>
  <c r="L26"/>
  <c r="M26"/>
  <c r="L31"/>
  <c r="M31"/>
  <c r="L18"/>
  <c r="M18"/>
  <c r="L16" i="9"/>
  <c r="M16"/>
  <c r="L4"/>
  <c r="M4"/>
  <c r="L27" i="8"/>
  <c r="M27"/>
  <c r="L8" i="9"/>
  <c r="M8"/>
  <c r="L10" i="8"/>
  <c r="M10"/>
  <c r="L22"/>
  <c r="M22"/>
  <c r="L28"/>
  <c r="M28"/>
  <c r="L25" i="10"/>
  <c r="M25"/>
  <c r="L25" i="8"/>
  <c r="M25"/>
  <c r="L14" i="10"/>
  <c r="M14"/>
  <c r="L37"/>
  <c r="M37"/>
  <c r="L8"/>
  <c r="M8"/>
  <c r="L14" i="9"/>
  <c r="M14"/>
  <c r="L37"/>
  <c r="M37"/>
  <c r="L17" i="8"/>
  <c r="M17"/>
  <c r="L24"/>
  <c r="M24"/>
  <c r="L30" i="10"/>
  <c r="M30"/>
  <c r="L33"/>
  <c r="M33"/>
  <c r="L13"/>
  <c r="M13"/>
  <c r="L5"/>
  <c r="M5"/>
  <c r="L19"/>
  <c r="M19"/>
  <c r="L13" i="9"/>
  <c r="M13"/>
  <c r="L24"/>
  <c r="M24"/>
  <c r="L39" i="10" l="1"/>
  <c r="L39" i="9"/>
  <c r="L39" i="8"/>
  <c r="O3" i="7" s="1"/>
  <c r="O4" s="1"/>
</calcChain>
</file>

<file path=xl/sharedStrings.xml><?xml version="1.0" encoding="utf-8"?>
<sst xmlns="http://schemas.openxmlformats.org/spreadsheetml/2006/main" count="342" uniqueCount="81">
  <si>
    <t>Наименование муниципалитета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</si>
  <si>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</si>
  <si>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</si>
  <si>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</si>
  <si>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</si>
  <si>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</si>
  <si>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Количество учебных недель в году</t>
  </si>
  <si>
    <t>Направленность</t>
  </si>
  <si>
    <t>Коэффициент доли работников АУП</t>
  </si>
  <si>
    <t>Минимальное число детей в группе</t>
  </si>
  <si>
    <t>Сумма затрат на повышение квалификации, в день</t>
  </si>
  <si>
    <t>Максимальное число детей в группе</t>
  </si>
  <si>
    <t>Стоимость медосмотра</t>
  </si>
  <si>
    <t>Нормативные затраты на час, всего</t>
  </si>
  <si>
    <t>Затраты на содержание имущества, на час реализации программы</t>
  </si>
  <si>
    <t>Затраты на оплату труда педагогических работников</t>
  </si>
  <si>
    <t>Стоимость комплекта средств обучения, по направленностям</t>
  </si>
  <si>
    <t>Затраты на оплату труда АУП</t>
  </si>
  <si>
    <t>Затраты на повышение квал-ии и медосмотры</t>
  </si>
  <si>
    <t>Затраты на приобретение средств обучения и учебной литературы</t>
  </si>
  <si>
    <t>Затраты на содержание имущества</t>
  </si>
  <si>
    <t>Норматив использования средств обучения в часах в год</t>
  </si>
  <si>
    <t>Стоимость учебного пособия</t>
  </si>
  <si>
    <t>Средняя зарплата по региону (целевой индикатор по Указу)</t>
  </si>
  <si>
    <t>Учреждение</t>
  </si>
  <si>
    <t>Программа</t>
  </si>
  <si>
    <t>Количество мест</t>
  </si>
  <si>
    <t>Норматив затрат по ПФ</t>
  </si>
  <si>
    <t>х</t>
  </si>
  <si>
    <t>Количество учебных часов в неделю</t>
  </si>
  <si>
    <t>Предполагаемая цена за чел/час</t>
  </si>
  <si>
    <r>
      <t>Среднее число учащихся на педагога Q</t>
    </r>
    <r>
      <rPr>
        <vertAlign val="subscript"/>
        <sz val="12"/>
        <color theme="1"/>
        <rFont val="Calibri"/>
        <family val="2"/>
        <charset val="204"/>
        <scheme val="minor"/>
      </rPr>
      <t>сред</t>
    </r>
  </si>
  <si>
    <r>
      <t>Средняя норма часов в год на одного ребенка V</t>
    </r>
    <r>
      <rPr>
        <vertAlign val="subscript"/>
        <sz val="12"/>
        <color theme="1"/>
        <rFont val="Calibri"/>
        <family val="2"/>
        <charset val="204"/>
        <scheme val="minor"/>
      </rPr>
      <t>час</t>
    </r>
  </si>
  <si>
    <t>Выделенный объем финансового обеспечения, рублей</t>
  </si>
  <si>
    <t>ДОХОД учреждения по ПФ ДОД</t>
  </si>
  <si>
    <t>Требуется дополнительно выделить</t>
  </si>
  <si>
    <t>Установленный охват общий, %</t>
  </si>
  <si>
    <t>Число сертификатов общее</t>
  </si>
  <si>
    <t>Справочно число педчасов на указную зарплату при установленных параметрах</t>
  </si>
  <si>
    <t>Численность детей от 5 до 18 лет, всего</t>
  </si>
  <si>
    <t>Социально-гуманитарная</t>
  </si>
  <si>
    <t>Установленный охват ПФ ДОД</t>
  </si>
  <si>
    <t>Количество учебных недель в периоде обучения</t>
  </si>
  <si>
    <t>Стоимость 1 места в периоде обучения</t>
  </si>
  <si>
    <t>Оплата 1 места в периоде обучения сертификатом</t>
  </si>
  <si>
    <t>Доплата со стороны родителей за 1 место в периоде обучения</t>
  </si>
  <si>
    <t>Отраслевые коэффициенты</t>
  </si>
  <si>
    <t>Адаптированная программа для детей с ОВЗ</t>
  </si>
  <si>
    <t>Стоимость инклюзивного оборудования на группу, рублей</t>
  </si>
  <si>
    <t>Средняя наполняемость групп по адаптированным программам</t>
  </si>
  <si>
    <t>Программа в дистанционной форме</t>
  </si>
  <si>
    <t>Программа в очно-заочной форме</t>
  </si>
  <si>
    <t>% заочных часов</t>
  </si>
  <si>
    <t>Количество часов программы, покрываемое сертификатом</t>
  </si>
  <si>
    <t>Количество часов программы, покрываемое сертификатом для детей с ОВЗ</t>
  </si>
  <si>
    <t>* Не может быть менее устанавливаемого для всех детей в возрасте от 5 до 18 лет</t>
  </si>
  <si>
    <t>Число сертификатов с определенным номиналом для  детей от 5 до 18 лет</t>
  </si>
  <si>
    <t>Число сертификатов с определенным номиналом для детей от 5 до 18 лет с ОВЗ</t>
  </si>
  <si>
    <t>Номинал сертификата для детей от 5 до 18 лет с ОВЗ, рублей*</t>
  </si>
  <si>
    <t>Номинал сертификата для  детей от 5 до 18 лет, рублей</t>
  </si>
  <si>
    <t>Требуемый объем финансового обеспечения по категории ОВЗ, рублей</t>
  </si>
  <si>
    <t>Требуемый объем финансового обеспечения покатегории дети от 5 до 18 лет, рублей</t>
  </si>
  <si>
    <t>В том числе на гранты в форме субсидий (допустимое значение от 0 % до 10%)</t>
  </si>
  <si>
    <t>АУ ДО ДЮСШ «ФСК «Мариинский им. Е. Николаевой»</t>
  </si>
  <si>
    <t>Футбол Серебряков А.Е. НП до 1 года</t>
  </si>
  <si>
    <t>Футбол Шиверов О.М. НП СОГ</t>
  </si>
  <si>
    <t>Футбол СОГ</t>
  </si>
  <si>
    <t>Баскетбол Сундырцев М.Ю. СОГ</t>
  </si>
  <si>
    <t>Баскетбол НП до 1 года</t>
  </si>
  <si>
    <t>Баскетбол Лучина О.Ю. СОГ</t>
  </si>
  <si>
    <t>Плавание Пестряева Л.Ш. НП до 1 года</t>
  </si>
  <si>
    <t>Плавание НП до 1 года</t>
  </si>
  <si>
    <t>Плавание Рябчиков Н.А. НП св.1 года</t>
  </si>
  <si>
    <t>Фитнес-аэробика Яковлева Л.Т. СОГ1</t>
  </si>
  <si>
    <t>Фитнес-аэробика СОГ2</t>
  </si>
  <si>
    <t>Фитнес-аэробика СОГ3</t>
  </si>
  <si>
    <t>Фитнес-аэробика СОГ4</t>
  </si>
  <si>
    <t>Мариинско-Посадский район</t>
  </si>
  <si>
    <t>Плавание ТЭ до 2 лет</t>
  </si>
  <si>
    <t>Бокс СОГ1</t>
  </si>
  <si>
    <t>Бокс СОГ2</t>
  </si>
</sst>
</file>

<file path=xl/styles.xml><?xml version="1.0" encoding="utf-8"?>
<styleSheet xmlns="http://schemas.openxmlformats.org/spreadsheetml/2006/main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#,##0\ &quot;₽&quot;"/>
    <numFmt numFmtId="166" formatCode="0.00_ ;[Red]\-0.00\ "/>
    <numFmt numFmtId="167" formatCode="0.0%"/>
    <numFmt numFmtId="168" formatCode="0.00_)"/>
  </numFmts>
  <fonts count="23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rgb="FF00000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bscript"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Cyr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/>
  </cellStyleXfs>
  <cellXfs count="107">
    <xf numFmtId="0" fontId="0" fillId="0" borderId="0" xfId="0"/>
    <xf numFmtId="2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3" fontId="0" fillId="0" borderId="0" xfId="0" applyNumberFormat="1" applyAlignment="1" applyProtection="1">
      <alignment horizontal="center" wrapText="1"/>
      <protection locked="0"/>
    </xf>
    <xf numFmtId="165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0" fillId="0" borderId="0" xfId="0" applyNumberForma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3" borderId="1" xfId="0" applyFill="1" applyBorder="1" applyProtection="1"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43" fontId="7" fillId="0" borderId="1" xfId="0" applyNumberFormat="1" applyFont="1" applyBorder="1" applyAlignment="1" applyProtection="1">
      <alignment horizontal="center"/>
      <protection locked="0"/>
    </xf>
    <xf numFmtId="43" fontId="0" fillId="0" borderId="0" xfId="1" applyFont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0" fontId="7" fillId="2" borderId="0" xfId="0" applyFont="1" applyFill="1" applyAlignment="1">
      <alignment horizontal="left" wrapText="1"/>
    </xf>
    <xf numFmtId="164" fontId="7" fillId="2" borderId="0" xfId="0" applyNumberFormat="1" applyFont="1" applyFill="1" applyAlignment="1">
      <alignment wrapText="1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>
      <alignment horizontal="center" vertical="center" wrapText="1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43" fontId="0" fillId="3" borderId="1" xfId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Alignment="1">
      <alignment wrapText="1"/>
    </xf>
    <xf numFmtId="9" fontId="0" fillId="0" borderId="0" xfId="2" applyFont="1" applyAlignment="1">
      <alignment horizontal="center" wrapText="1"/>
    </xf>
    <xf numFmtId="0" fontId="0" fillId="0" borderId="0" xfId="0" applyAlignment="1">
      <alignment wrapText="1"/>
    </xf>
    <xf numFmtId="164" fontId="0" fillId="2" borderId="0" xfId="0" applyNumberFormat="1" applyFill="1" applyAlignment="1">
      <alignment wrapText="1"/>
    </xf>
    <xf numFmtId="43" fontId="0" fillId="0" borderId="0" xfId="1" applyNumberFormat="1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/>
    <xf numFmtId="43" fontId="14" fillId="0" borderId="1" xfId="1" applyFont="1" applyBorder="1" applyAlignment="1">
      <alignment horizontal="center" vertical="center" wrapText="1"/>
    </xf>
    <xf numFmtId="0" fontId="15" fillId="0" borderId="0" xfId="0" applyFont="1"/>
    <xf numFmtId="43" fontId="16" fillId="0" borderId="1" xfId="1" applyFont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44" fontId="3" fillId="0" borderId="0" xfId="3" applyFont="1" applyFill="1" applyAlignment="1">
      <alignment horizontal="center" vertical="center" wrapText="1"/>
    </xf>
    <xf numFmtId="166" fontId="0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44" fontId="18" fillId="0" borderId="0" xfId="3" applyFont="1" applyAlignment="1">
      <alignment horizontal="center" vertical="center" wrapText="1"/>
    </xf>
    <xf numFmtId="0" fontId="19" fillId="0" borderId="0" xfId="0" applyFont="1" applyAlignment="1">
      <alignment wrapText="1"/>
    </xf>
    <xf numFmtId="9" fontId="0" fillId="0" borderId="0" xfId="0" applyNumberFormat="1" applyFont="1" applyFill="1" applyAlignment="1" applyProtection="1">
      <alignment horizontal="center" vertical="center" wrapText="1"/>
      <protection locked="0"/>
    </xf>
    <xf numFmtId="10" fontId="3" fillId="0" borderId="0" xfId="2" applyNumberFormat="1" applyFont="1" applyFill="1" applyAlignment="1">
      <alignment horizontal="center" vertical="center" wrapText="1"/>
    </xf>
    <xf numFmtId="2" fontId="0" fillId="0" borderId="1" xfId="0" applyNumberForma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3" fontId="18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7" fillId="0" borderId="0" xfId="0" applyFont="1" applyAlignment="1">
      <alignment wrapText="1"/>
    </xf>
    <xf numFmtId="166" fontId="0" fillId="2" borderId="0" xfId="0" applyNumberFormat="1" applyFont="1" applyFill="1" applyAlignment="1">
      <alignment horizontal="center" vertical="center" wrapText="1"/>
    </xf>
    <xf numFmtId="166" fontId="0" fillId="2" borderId="0" xfId="0" applyNumberFormat="1" applyFill="1" applyAlignment="1">
      <alignment horizontal="center" vertical="center" wrapText="1"/>
    </xf>
    <xf numFmtId="3" fontId="0" fillId="3" borderId="0" xfId="0" applyNumberFormat="1" applyFont="1" applyFill="1" applyAlignment="1" applyProtection="1">
      <alignment horizontal="center" vertical="center" wrapText="1"/>
      <protection locked="0"/>
    </xf>
    <xf numFmtId="0" fontId="3" fillId="3" borderId="0" xfId="2" applyNumberFormat="1" applyFont="1" applyFill="1" applyAlignment="1">
      <alignment horizontal="center" vertical="center" wrapText="1"/>
    </xf>
    <xf numFmtId="4" fontId="0" fillId="3" borderId="0" xfId="0" applyNumberFormat="1" applyFill="1" applyAlignment="1" applyProtection="1">
      <alignment horizontal="center" wrapText="1"/>
      <protection locked="0"/>
    </xf>
    <xf numFmtId="3" fontId="0" fillId="3" borderId="0" xfId="0" applyNumberFormat="1" applyFill="1" applyAlignment="1" applyProtection="1">
      <alignment horizontal="center" wrapText="1"/>
      <protection locked="0"/>
    </xf>
    <xf numFmtId="3" fontId="0" fillId="3" borderId="0" xfId="0" applyNumberFormat="1" applyFill="1" applyAlignment="1" applyProtection="1">
      <alignment horizontal="center" vertical="center" wrapText="1"/>
      <protection locked="0"/>
    </xf>
    <xf numFmtId="1" fontId="0" fillId="3" borderId="0" xfId="0" applyNumberFormat="1" applyFill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wrapText="1"/>
    </xf>
    <xf numFmtId="167" fontId="0" fillId="3" borderId="1" xfId="2" applyNumberFormat="1" applyFont="1" applyFill="1" applyBorder="1" applyAlignment="1">
      <alignment wrapText="1"/>
    </xf>
    <xf numFmtId="44" fontId="0" fillId="0" borderId="0" xfId="3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3" fontId="0" fillId="0" borderId="0" xfId="0" applyNumberFormat="1" applyFill="1" applyAlignment="1" applyProtection="1">
      <alignment horizontal="center" wrapText="1"/>
      <protection locked="0"/>
    </xf>
    <xf numFmtId="0" fontId="19" fillId="0" borderId="0" xfId="0" applyFont="1" applyFill="1" applyAlignment="1">
      <alignment wrapText="1"/>
    </xf>
    <xf numFmtId="44" fontId="3" fillId="0" borderId="0" xfId="3" applyFont="1" applyFill="1" applyAlignment="1">
      <alignment vertical="center" wrapText="1"/>
    </xf>
    <xf numFmtId="44" fontId="18" fillId="0" borderId="0" xfId="3" applyFont="1" applyFill="1" applyAlignment="1">
      <alignment horizontal="center" vertical="center" wrapText="1"/>
    </xf>
    <xf numFmtId="43" fontId="0" fillId="0" borderId="1" xfId="1" applyFont="1" applyFill="1" applyBorder="1" applyAlignment="1">
      <alignment wrapText="1"/>
    </xf>
    <xf numFmtId="43" fontId="0" fillId="0" borderId="1" xfId="0" applyNumberFormat="1" applyFill="1" applyBorder="1"/>
    <xf numFmtId="43" fontId="15" fillId="0" borderId="1" xfId="0" applyNumberFormat="1" applyFont="1" applyFill="1" applyBorder="1"/>
    <xf numFmtId="0" fontId="7" fillId="0" borderId="1" xfId="0" applyFont="1" applyFill="1" applyBorder="1" applyAlignment="1" applyProtection="1">
      <alignment horizontal="center"/>
      <protection locked="0"/>
    </xf>
    <xf numFmtId="43" fontId="7" fillId="0" borderId="1" xfId="0" applyNumberFormat="1" applyFont="1" applyFill="1" applyBorder="1" applyAlignment="1" applyProtection="1">
      <alignment horizontal="center"/>
      <protection locked="0"/>
    </xf>
    <xf numFmtId="43" fontId="7" fillId="0" borderId="1" xfId="1" applyFont="1" applyFill="1" applyBorder="1" applyAlignment="1">
      <alignment wrapText="1"/>
    </xf>
    <xf numFmtId="0" fontId="14" fillId="0" borderId="1" xfId="0" applyFont="1" applyFill="1" applyBorder="1" applyAlignment="1" applyProtection="1">
      <alignment horizontal="center"/>
      <protection locked="0"/>
    </xf>
    <xf numFmtId="43" fontId="0" fillId="4" borderId="0" xfId="0" applyNumberFormat="1" applyFill="1" applyAlignment="1">
      <alignment wrapText="1"/>
    </xf>
    <xf numFmtId="9" fontId="0" fillId="4" borderId="0" xfId="2" applyFont="1" applyFill="1" applyAlignment="1">
      <alignment horizontal="center" vertical="center" wrapText="1"/>
    </xf>
    <xf numFmtId="3" fontId="0" fillId="0" borderId="0" xfId="0" applyNumberFormat="1" applyFill="1" applyAlignment="1" applyProtection="1">
      <alignment horizontal="center" vertical="center" wrapText="1"/>
      <protection locked="0"/>
    </xf>
    <xf numFmtId="1" fontId="0" fillId="0" borderId="0" xfId="0" applyNumberFormat="1" applyFill="1" applyAlignment="1" applyProtection="1">
      <alignment horizontal="center" vertical="center" wrapText="1"/>
      <protection locked="0"/>
    </xf>
    <xf numFmtId="168" fontId="22" fillId="3" borderId="1" xfId="6" applyNumberFormat="1" applyFont="1" applyFill="1" applyBorder="1" applyAlignment="1" applyProtection="1">
      <alignment horizontal="left" vertical="top" wrapText="1"/>
      <protection locked="0"/>
    </xf>
    <xf numFmtId="43" fontId="3" fillId="0" borderId="1" xfId="1" applyFont="1" applyFill="1" applyBorder="1" applyAlignment="1">
      <alignment wrapText="1"/>
    </xf>
    <xf numFmtId="0" fontId="0" fillId="5" borderId="1" xfId="0" applyFill="1" applyBorder="1" applyProtection="1">
      <protection locked="0"/>
    </xf>
    <xf numFmtId="0" fontId="7" fillId="2" borderId="0" xfId="0" applyFont="1" applyFill="1" applyAlignment="1">
      <alignment horizontal="center" wrapText="1"/>
    </xf>
    <xf numFmtId="44" fontId="3" fillId="0" borderId="0" xfId="3" applyFont="1" applyFill="1" applyAlignment="1">
      <alignment horizontal="center" vertical="center" wrapText="1"/>
    </xf>
    <xf numFmtId="3" fontId="18" fillId="0" borderId="0" xfId="0" applyNumberFormat="1" applyFont="1" applyFill="1" applyAlignment="1" applyProtection="1">
      <alignment horizontal="center" vertical="center" wrapText="1"/>
      <protection locked="0"/>
    </xf>
    <xf numFmtId="3" fontId="0" fillId="2" borderId="0" xfId="0" applyNumberFormat="1" applyFill="1" applyAlignment="1" applyProtection="1">
      <alignment horizontal="center" vertical="center" wrapText="1"/>
      <protection locked="0"/>
    </xf>
    <xf numFmtId="3" fontId="0" fillId="2" borderId="0" xfId="0" applyNumberFormat="1" applyFont="1" applyFill="1" applyAlignment="1" applyProtection="1">
      <alignment horizontal="center" vertical="center" wrapText="1"/>
      <protection locked="0"/>
    </xf>
    <xf numFmtId="166" fontId="0" fillId="0" borderId="0" xfId="0" applyNumberFormat="1" applyFont="1" applyAlignment="1">
      <alignment horizontal="center" vertical="top" wrapText="1"/>
    </xf>
    <xf numFmtId="4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 applyProtection="1">
      <alignment horizontal="center"/>
      <protection locked="0"/>
    </xf>
    <xf numFmtId="49" fontId="10" fillId="0" borderId="0" xfId="1" applyNumberFormat="1" applyFont="1" applyAlignment="1">
      <alignment horizontal="center" wrapText="1"/>
    </xf>
    <xf numFmtId="43" fontId="20" fillId="0" borderId="0" xfId="1" applyFont="1" applyAlignment="1">
      <alignment horizontal="center" wrapText="1"/>
    </xf>
  </cellXfs>
  <cellStyles count="7">
    <cellStyle name="Денежный" xfId="3" builtinId="4"/>
    <cellStyle name="Обычный" xfId="0" builtinId="0"/>
    <cellStyle name="Обычный 2" xfId="4"/>
    <cellStyle name="Обычный 2 2" xfId="5"/>
    <cellStyle name="Обычный_УДО 226" xfId="6"/>
    <cellStyle name="Процентный" xfId="2" builtinId="5"/>
    <cellStyle name="Финансовый" xfId="1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18</xdr:row>
      <xdr:rowOff>228600</xdr:rowOff>
    </xdr:from>
    <xdr:to>
      <xdr:col>2</xdr:col>
      <xdr:colOff>0</xdr:colOff>
      <xdr:row>19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27A369C3-979C-42EB-AADB-BD397BB1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51075" y="6057900"/>
          <a:ext cx="644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17</xdr:row>
      <xdr:rowOff>203200</xdr:rowOff>
    </xdr:from>
    <xdr:to>
      <xdr:col>1</xdr:col>
      <xdr:colOff>571500</xdr:colOff>
      <xdr:row>17</xdr:row>
      <xdr:rowOff>431800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E473EE33-51BE-4392-82AE-06E797A1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5675" y="5461000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139700</xdr:colOff>
      <xdr:row>10</xdr:row>
      <xdr:rowOff>187325</xdr:rowOff>
    </xdr:from>
    <xdr:to>
      <xdr:col>1</xdr:col>
      <xdr:colOff>342900</xdr:colOff>
      <xdr:row>10</xdr:row>
      <xdr:rowOff>390525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BF6CF181-6D05-49C8-9994-C96036D1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49475" y="2873375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6</xdr:row>
      <xdr:rowOff>114300</xdr:rowOff>
    </xdr:from>
    <xdr:to>
      <xdr:col>1</xdr:col>
      <xdr:colOff>609600</xdr:colOff>
      <xdr:row>6</xdr:row>
      <xdr:rowOff>317500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3F1BC02B-FDAC-4CBE-8535-7CBDA0BD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38375" y="981075"/>
          <a:ext cx="381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9</xdr:row>
      <xdr:rowOff>241300</xdr:rowOff>
    </xdr:from>
    <xdr:to>
      <xdr:col>1</xdr:col>
      <xdr:colOff>571500</xdr:colOff>
      <xdr:row>9</xdr:row>
      <xdr:rowOff>469900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AD841365-9AE7-4126-A433-46A0E458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5675" y="2327275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7</xdr:row>
      <xdr:rowOff>215900</xdr:rowOff>
    </xdr:from>
    <xdr:to>
      <xdr:col>1</xdr:col>
      <xdr:colOff>596900</xdr:colOff>
      <xdr:row>7</xdr:row>
      <xdr:rowOff>431800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5E699FB-6EC5-4ADB-A6DB-23F36025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12975" y="1520825"/>
          <a:ext cx="393700" cy="16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8</xdr:row>
      <xdr:rowOff>139700</xdr:rowOff>
    </xdr:from>
    <xdr:to>
      <xdr:col>1</xdr:col>
      <xdr:colOff>584200</xdr:colOff>
      <xdr:row>8</xdr:row>
      <xdr:rowOff>393700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8257F9ED-D908-47A3-8D2F-52AF2ECB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12975" y="1825625"/>
          <a:ext cx="381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74;&#1080;&#1075;&#1072;&#1090;&#1086;&#1088;&#1099;/&#1052;&#1045;&#1058;&#1054;&#1044;/&#1057;&#1093;&#1086;&#1076;&#1080;&#1084;&#1086;&#1089;&#1090;&#1100;%20&#1084;&#1086;&#1076;&#1077;&#1083;&#1080;%20&#1055;&#1060;%20&#1087;&#1088;&#1080;%20&#1086;&#1087;&#1088;&#1077;&#1076;&#1077;&#1083;&#1077;&#1085;&#1085;&#1086;&#1084;%20&#1086;&#1073;&#1098;&#1077;&#1084;&#1077;%20&#1092;&#1080;&#1085;&#1072;&#1085;&#1089;&#1080;&#1088;&#1086;&#1074;&#1072;&#1085;&#1080;&#1103;%20(2&#1081;%20&#1075;&#1086;&#10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zov9/Desktop/26.%20&#1064;&#1072;&#1073;&#1083;&#1086;&#1085;%20&#1088;&#1072;&#1089;&#1095;&#1077;&#1090;&#1072;%20&#1085;&#1072;%202022%20&#1075;&#1086;&#1076;%20&#1087;&#1088;&#1080;%20&#1079;&#1072;&#1083;&#1086;&#1078;&#1077;&#1085;&#1085;&#1099;&#1093;%20&#1089;&#1088;&#1077;&#1076;&#1089;&#1090;&#1074;&#1072;&#1093;%20&#1085;&#1072;%20&#1055;&#1060;&#1044;&#1054;&#1044;%20&#1063;&#1091;&#1074;&#1072;&#1096;&#1080;&#1103;%20_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ормативных затрат"/>
      <sheetName val="Сходимость модели"/>
    </sheetNames>
    <sheetDataSet>
      <sheetData sheetId="0">
        <row r="2">
          <cell r="J2">
            <v>12000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 ПФ"/>
      <sheetName val="Стандартные программы"/>
      <sheetName val="Дистанционные программы"/>
      <sheetName val="Очно-заочные программы"/>
      <sheetName val="Адаптированные программы"/>
    </sheetNames>
    <sheetDataSet>
      <sheetData sheetId="0">
        <row r="7">
          <cell r="F7" t="str">
            <v>Техническая</v>
          </cell>
          <cell r="G7" t="str">
            <v>Естественнонаучная</v>
          </cell>
          <cell r="H7" t="str">
            <v>Художественная</v>
          </cell>
          <cell r="I7" t="str">
            <v>Туристско-краеведческая</v>
          </cell>
          <cell r="J7" t="str">
            <v>Физкультурно-спортивная</v>
          </cell>
          <cell r="K7" t="str">
            <v>Социально-гуманитарная</v>
          </cell>
        </row>
        <row r="8">
          <cell r="F8">
            <v>180</v>
          </cell>
          <cell r="G8">
            <v>180</v>
          </cell>
          <cell r="H8">
            <v>180</v>
          </cell>
          <cell r="I8">
            <v>180</v>
          </cell>
          <cell r="J8">
            <v>180</v>
          </cell>
          <cell r="K8">
            <v>180</v>
          </cell>
        </row>
        <row r="9">
          <cell r="F9">
            <v>72</v>
          </cell>
          <cell r="G9">
            <v>72</v>
          </cell>
          <cell r="H9">
            <v>72</v>
          </cell>
          <cell r="I9">
            <v>72</v>
          </cell>
          <cell r="J9">
            <v>72</v>
          </cell>
          <cell r="K9">
            <v>72</v>
          </cell>
        </row>
        <row r="10">
          <cell r="F10">
            <v>10</v>
          </cell>
          <cell r="G10">
            <v>10</v>
          </cell>
          <cell r="H10">
            <v>10</v>
          </cell>
          <cell r="I10">
            <v>10</v>
          </cell>
          <cell r="J10">
            <v>10</v>
          </cell>
          <cell r="K10">
            <v>10</v>
          </cell>
        </row>
        <row r="11">
          <cell r="F11">
            <v>20</v>
          </cell>
          <cell r="G11">
            <v>20</v>
          </cell>
          <cell r="H11">
            <v>20</v>
          </cell>
          <cell r="I11">
            <v>20</v>
          </cell>
          <cell r="J11">
            <v>20</v>
          </cell>
          <cell r="K11">
            <v>20</v>
          </cell>
        </row>
        <row r="12">
          <cell r="F12">
            <v>55.9</v>
          </cell>
          <cell r="G12">
            <v>55.9</v>
          </cell>
          <cell r="H12">
            <v>55.9</v>
          </cell>
          <cell r="I12">
            <v>55.9</v>
          </cell>
          <cell r="J12">
            <v>56.53</v>
          </cell>
          <cell r="K12">
            <v>55.9</v>
          </cell>
        </row>
        <row r="21">
          <cell r="G21">
            <v>2.79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opLeftCell="B10" zoomScale="70" zoomScaleNormal="70" workbookViewId="0">
      <selection activeCell="O4" sqref="O4"/>
    </sheetView>
  </sheetViews>
  <sheetFormatPr defaultColWidth="10.875" defaultRowHeight="15.75"/>
  <cols>
    <col min="1" max="1" width="26.375" style="28" customWidth="1"/>
    <col min="2" max="2" width="11.625" style="28" customWidth="1"/>
    <col min="3" max="3" width="13.375" style="28" customWidth="1"/>
    <col min="4" max="4" width="3.5" style="28" customWidth="1"/>
    <col min="5" max="5" width="31.125" style="28" customWidth="1"/>
    <col min="6" max="6" width="12.375" style="28" bestFit="1" customWidth="1"/>
    <col min="7" max="7" width="13.125" style="28" customWidth="1"/>
    <col min="8" max="8" width="11.25" style="30" customWidth="1"/>
    <col min="9" max="9" width="14.875" style="30" customWidth="1"/>
    <col min="10" max="10" width="14.375" style="28" customWidth="1"/>
    <col min="11" max="11" width="15.875" style="28" customWidth="1"/>
    <col min="12" max="12" width="14.625" style="30" customWidth="1"/>
    <col min="13" max="13" width="16.875" style="28" customWidth="1"/>
    <col min="14" max="14" width="16.875" style="30" customWidth="1"/>
    <col min="15" max="15" width="28.375" style="28" customWidth="1"/>
    <col min="16" max="16" width="20.375" style="28" customWidth="1"/>
    <col min="17" max="16384" width="10.875" style="28"/>
  </cols>
  <sheetData>
    <row r="1" spans="1:16" s="30" customFormat="1" ht="16.149999999999999" customHeight="1">
      <c r="I1" s="87"/>
      <c r="J1" s="87"/>
      <c r="K1" s="87"/>
      <c r="L1" s="87"/>
      <c r="M1" s="51"/>
      <c r="N1" s="51"/>
    </row>
    <row r="2" spans="1:16" ht="140.44999999999999" customHeight="1">
      <c r="A2" s="95" t="s">
        <v>0</v>
      </c>
      <c r="B2" s="95"/>
      <c r="C2" s="92" t="s">
        <v>33</v>
      </c>
      <c r="D2" s="92"/>
      <c r="E2" s="40" t="s">
        <v>39</v>
      </c>
      <c r="F2" s="40" t="s">
        <v>36</v>
      </c>
      <c r="G2" s="40" t="s">
        <v>37</v>
      </c>
      <c r="H2" s="52" t="s">
        <v>41</v>
      </c>
      <c r="I2" s="53" t="s">
        <v>56</v>
      </c>
      <c r="J2" s="67" t="s">
        <v>59</v>
      </c>
      <c r="K2" s="53" t="s">
        <v>57</v>
      </c>
      <c r="L2" s="66" t="s">
        <v>58</v>
      </c>
      <c r="M2" s="68" t="s">
        <v>61</v>
      </c>
      <c r="N2" s="68" t="s">
        <v>60</v>
      </c>
      <c r="O2" s="64" t="s">
        <v>62</v>
      </c>
      <c r="P2" s="88" t="s">
        <v>55</v>
      </c>
    </row>
    <row r="3" spans="1:16" s="30" customFormat="1" ht="35.1" customHeight="1">
      <c r="A3" s="96" t="s">
        <v>77</v>
      </c>
      <c r="B3" s="96"/>
      <c r="C3" s="93">
        <v>1700000</v>
      </c>
      <c r="D3" s="93"/>
      <c r="E3" s="54">
        <v>3063</v>
      </c>
      <c r="F3" s="44">
        <v>0.75</v>
      </c>
      <c r="G3" s="54">
        <v>2298</v>
      </c>
      <c r="H3" s="45">
        <v>0.25</v>
      </c>
      <c r="I3" s="54">
        <v>766</v>
      </c>
      <c r="J3" s="71">
        <f>ROUNDUP(MAX(F12:K12)*E4,-1)</f>
        <v>4080</v>
      </c>
      <c r="K3" s="63">
        <v>0</v>
      </c>
      <c r="L3" s="71">
        <f>ROUNDUP(MAX(F12:K12)*G21*E5,-1)</f>
        <v>0</v>
      </c>
      <c r="M3" s="71">
        <f>J3*I3</f>
        <v>3125280</v>
      </c>
      <c r="N3" s="71">
        <f>K3*L3</f>
        <v>0</v>
      </c>
      <c r="O3" s="80">
        <f>(M3+N3)-('Стандартные программы'!L36+'Дистанционные программы'!L39+'Очно-заочные программы'!L39+'Адаптированные программы'!L39)</f>
        <v>313104</v>
      </c>
      <c r="P3" s="88"/>
    </row>
    <row r="4" spans="1:16" s="30" customFormat="1" ht="50.45" customHeight="1">
      <c r="A4" s="38"/>
      <c r="B4" s="90" t="s">
        <v>53</v>
      </c>
      <c r="C4" s="91"/>
      <c r="D4" s="91"/>
      <c r="E4" s="55">
        <v>72</v>
      </c>
      <c r="F4" s="89" t="str">
        <f>IF(G3&lt;F3*E3,"Охват недостаточен"," ")</f>
        <v xml:space="preserve"> </v>
      </c>
      <c r="G4" s="89"/>
      <c r="H4" s="89" t="str">
        <f>IF((I3+K3)&lt;H3*E3,"Охват недостаточен"," ")</f>
        <v xml:space="preserve"> </v>
      </c>
      <c r="I4" s="89"/>
      <c r="J4" s="98" t="s">
        <v>35</v>
      </c>
      <c r="K4" s="98"/>
      <c r="L4" s="98"/>
      <c r="M4" s="72">
        <f>IF(C3&lt;(M3+N3),(M3+N3)-C3,"не требуется")</f>
        <v>1425280</v>
      </c>
      <c r="N4" s="72"/>
      <c r="O4" s="81">
        <f>O3/M3</f>
        <v>0.1</v>
      </c>
      <c r="P4" s="39"/>
    </row>
    <row r="5" spans="1:16" s="30" customFormat="1" ht="50.45" customHeight="1">
      <c r="A5" s="38"/>
      <c r="B5" s="90" t="s">
        <v>54</v>
      </c>
      <c r="C5" s="91"/>
      <c r="D5" s="91"/>
      <c r="E5" s="55">
        <v>0</v>
      </c>
      <c r="F5" s="48"/>
      <c r="G5" s="48"/>
      <c r="H5" s="48"/>
      <c r="I5" s="48"/>
      <c r="J5" s="50"/>
      <c r="K5" s="50"/>
      <c r="L5" s="50"/>
      <c r="M5" s="42"/>
      <c r="N5" s="42"/>
      <c r="O5" s="62"/>
      <c r="P5" s="39"/>
    </row>
    <row r="6" spans="1:16" ht="33.75" customHeight="1">
      <c r="A6" s="94" t="s">
        <v>23</v>
      </c>
      <c r="B6" s="94"/>
      <c r="C6" s="69">
        <v>31086</v>
      </c>
      <c r="D6" s="4"/>
      <c r="F6" s="97"/>
      <c r="G6" s="97"/>
      <c r="H6" s="97"/>
      <c r="I6" s="97"/>
      <c r="J6" s="97"/>
      <c r="K6" s="97"/>
      <c r="L6" s="49"/>
      <c r="M6" s="41"/>
      <c r="N6" s="41"/>
      <c r="O6" s="41"/>
      <c r="P6" s="41"/>
    </row>
    <row r="7" spans="1:16" ht="46.15" customHeight="1">
      <c r="A7" s="3" t="s">
        <v>8</v>
      </c>
      <c r="B7"/>
      <c r="C7" s="56">
        <v>0.33</v>
      </c>
      <c r="D7" s="1"/>
      <c r="E7" s="5" t="s">
        <v>7</v>
      </c>
      <c r="F7" s="27" t="s">
        <v>1</v>
      </c>
      <c r="G7" s="27" t="s">
        <v>2</v>
      </c>
      <c r="H7" s="27" t="s">
        <v>3</v>
      </c>
      <c r="I7" s="27" t="s">
        <v>4</v>
      </c>
      <c r="J7" s="27" t="s">
        <v>5</v>
      </c>
      <c r="K7" s="27" t="s">
        <v>40</v>
      </c>
      <c r="L7" s="27"/>
    </row>
    <row r="8" spans="1:16" ht="30" customHeight="1">
      <c r="A8" s="3" t="s">
        <v>10</v>
      </c>
      <c r="B8"/>
      <c r="C8" s="57">
        <v>750</v>
      </c>
      <c r="D8" s="1"/>
      <c r="E8" s="3" t="s">
        <v>31</v>
      </c>
      <c r="F8" s="82"/>
      <c r="G8" s="82"/>
      <c r="H8" s="82"/>
      <c r="I8" s="82"/>
      <c r="J8" s="82">
        <v>180</v>
      </c>
      <c r="K8" s="82"/>
      <c r="L8" s="58">
        <v>180</v>
      </c>
      <c r="M8" s="65"/>
      <c r="N8" s="65"/>
      <c r="O8" s="30"/>
      <c r="P8" s="30"/>
    </row>
    <row r="9" spans="1:16" ht="34.5">
      <c r="A9" s="3" t="s">
        <v>12</v>
      </c>
      <c r="B9"/>
      <c r="C9" s="57">
        <v>2050</v>
      </c>
      <c r="D9" s="1"/>
      <c r="E9" s="3" t="s">
        <v>32</v>
      </c>
      <c r="F9" s="82"/>
      <c r="G9" s="82"/>
      <c r="H9" s="82"/>
      <c r="I9" s="82"/>
      <c r="J9" s="82">
        <v>72</v>
      </c>
      <c r="K9" s="82"/>
      <c r="L9" s="58">
        <v>72</v>
      </c>
      <c r="M9" s="65"/>
      <c r="N9" s="65"/>
      <c r="O9" s="30"/>
      <c r="P9" s="30"/>
    </row>
    <row r="10" spans="1:16" ht="47.25">
      <c r="A10" s="3" t="s">
        <v>14</v>
      </c>
      <c r="B10"/>
      <c r="C10" s="56">
        <v>5.6</v>
      </c>
      <c r="E10" s="6" t="s">
        <v>9</v>
      </c>
      <c r="F10" s="83"/>
      <c r="G10" s="83"/>
      <c r="H10" s="83"/>
      <c r="I10" s="83"/>
      <c r="J10" s="83">
        <v>10</v>
      </c>
      <c r="K10" s="83"/>
      <c r="L10" s="59">
        <v>10</v>
      </c>
      <c r="M10" s="65"/>
      <c r="N10" s="65"/>
      <c r="O10" s="30"/>
      <c r="P10" s="30"/>
    </row>
    <row r="11" spans="1:16" ht="45" customHeight="1">
      <c r="A11" s="3" t="s">
        <v>16</v>
      </c>
      <c r="B11"/>
      <c r="C11" s="2"/>
      <c r="E11" s="6" t="s">
        <v>11</v>
      </c>
      <c r="F11" s="83"/>
      <c r="G11" s="83"/>
      <c r="H11" s="83"/>
      <c r="I11" s="83"/>
      <c r="J11" s="83">
        <v>20</v>
      </c>
      <c r="K11" s="83"/>
      <c r="L11" s="59">
        <v>20</v>
      </c>
      <c r="M11" s="65"/>
      <c r="N11" s="65"/>
      <c r="O11" s="30"/>
      <c r="P11" s="30"/>
    </row>
    <row r="12" spans="1:16" ht="31.9" customHeight="1">
      <c r="A12" s="8" t="s">
        <v>1</v>
      </c>
      <c r="B12" s="3"/>
      <c r="C12" s="57">
        <v>0</v>
      </c>
      <c r="E12" s="17" t="s">
        <v>13</v>
      </c>
      <c r="F12" s="18"/>
      <c r="G12" s="18"/>
      <c r="H12" s="18"/>
      <c r="I12" s="18"/>
      <c r="J12" s="18">
        <f t="shared" ref="J12" si="0">SUM(J13:J17)</f>
        <v>56.64</v>
      </c>
      <c r="K12" s="18"/>
      <c r="L12" s="18"/>
      <c r="M12" s="65"/>
      <c r="N12" s="65"/>
      <c r="O12" s="30"/>
      <c r="P12" s="30"/>
    </row>
    <row r="13" spans="1:16" ht="31.5" customHeight="1">
      <c r="A13" s="8" t="s">
        <v>2</v>
      </c>
      <c r="B13" s="3"/>
      <c r="C13" s="57">
        <v>0</v>
      </c>
      <c r="E13" s="3" t="s">
        <v>15</v>
      </c>
      <c r="F13" s="7"/>
      <c r="G13" s="7"/>
      <c r="H13" s="7"/>
      <c r="I13" s="7"/>
      <c r="J13" s="7">
        <f t="shared" ref="J13" si="1">$C$6*12*1.302/J8/J9</f>
        <v>37.479999999999997</v>
      </c>
      <c r="K13" s="7"/>
      <c r="L13" s="7"/>
      <c r="M13" s="65"/>
      <c r="N13" s="65"/>
      <c r="O13" s="30"/>
      <c r="P13" s="30"/>
    </row>
    <row r="14" spans="1:16" ht="30.75" customHeight="1">
      <c r="A14" s="8" t="s">
        <v>3</v>
      </c>
      <c r="B14" s="3"/>
      <c r="C14" s="57">
        <v>0</v>
      </c>
      <c r="E14" s="3" t="s">
        <v>17</v>
      </c>
      <c r="F14" s="7"/>
      <c r="G14" s="7"/>
      <c r="H14" s="7"/>
      <c r="I14" s="7"/>
      <c r="J14" s="7">
        <f t="shared" ref="J14" si="2">J13*$C$7</f>
        <v>12.37</v>
      </c>
      <c r="K14" s="7"/>
      <c r="L14" s="7"/>
      <c r="M14" s="65"/>
      <c r="N14" s="65"/>
      <c r="O14" s="30"/>
      <c r="P14" s="30"/>
    </row>
    <row r="15" spans="1:16" ht="31.5" customHeight="1">
      <c r="A15" s="8" t="s">
        <v>4</v>
      </c>
      <c r="B15" s="3"/>
      <c r="C15" s="57">
        <v>0</v>
      </c>
      <c r="E15" s="3" t="s">
        <v>18</v>
      </c>
      <c r="F15" s="31"/>
      <c r="G15" s="31"/>
      <c r="H15" s="31"/>
      <c r="I15" s="31"/>
      <c r="J15" s="31">
        <f t="shared" ref="J15" si="3">($C$8*14)/3/J8/J9+$C$9/J8/J9</f>
        <v>0.43</v>
      </c>
      <c r="K15" s="31"/>
      <c r="L15" s="31"/>
      <c r="M15" s="65"/>
      <c r="N15" s="65"/>
      <c r="O15" s="30"/>
      <c r="P15" s="30"/>
    </row>
    <row r="16" spans="1:16" ht="31.5" customHeight="1">
      <c r="A16" s="8" t="s">
        <v>5</v>
      </c>
      <c r="B16" s="3"/>
      <c r="C16" s="57">
        <v>60000</v>
      </c>
      <c r="E16" s="3" t="s">
        <v>19</v>
      </c>
      <c r="F16" s="7"/>
      <c r="G16" s="7"/>
      <c r="H16" s="7"/>
      <c r="I16" s="7"/>
      <c r="J16" s="7">
        <f t="shared" ref="J16" si="4">((VLOOKUP(J7,$A$12:$C$17,3,FALSE))/7/$C$18/(AVERAGE(J10,J11)))+(($C$19*0.5)/5/$C$18)</f>
        <v>0.76</v>
      </c>
      <c r="K16" s="7"/>
      <c r="L16" s="7"/>
      <c r="O16" s="30"/>
      <c r="P16" s="30"/>
    </row>
    <row r="17" spans="1:16" ht="31.5">
      <c r="A17" s="27" t="s">
        <v>40</v>
      </c>
      <c r="C17" s="57">
        <v>0</v>
      </c>
      <c r="E17" s="3" t="s">
        <v>20</v>
      </c>
      <c r="F17" s="7"/>
      <c r="G17" s="7"/>
      <c r="H17" s="7"/>
      <c r="I17" s="7"/>
      <c r="J17" s="7">
        <f t="shared" ref="J17" si="5">$C$10</f>
        <v>5.6</v>
      </c>
      <c r="K17" s="7"/>
      <c r="L17" s="7"/>
      <c r="O17" s="30"/>
      <c r="P17" s="30"/>
    </row>
    <row r="18" spans="1:16" ht="47.25">
      <c r="A18" s="28" t="s">
        <v>21</v>
      </c>
      <c r="B18"/>
      <c r="C18" s="57">
        <v>750</v>
      </c>
      <c r="E18" s="43" t="s">
        <v>38</v>
      </c>
      <c r="F18" s="70" t="e">
        <f>F8/(F10+F11)*2*(F9/36)</f>
        <v>#DIV/0!</v>
      </c>
      <c r="G18" s="70" t="e">
        <f t="shared" ref="G18:K18" si="6">G8/(G10+G11)*2*(G9/36)</f>
        <v>#DIV/0!</v>
      </c>
      <c r="H18" s="70" t="e">
        <f t="shared" si="6"/>
        <v>#DIV/0!</v>
      </c>
      <c r="I18" s="70" t="e">
        <f t="shared" si="6"/>
        <v>#DIV/0!</v>
      </c>
      <c r="J18" s="70">
        <f t="shared" si="6"/>
        <v>24</v>
      </c>
      <c r="K18" s="70" t="e">
        <f t="shared" si="6"/>
        <v>#DIV/0!</v>
      </c>
      <c r="L18" s="43"/>
    </row>
    <row r="19" spans="1:16">
      <c r="A19" s="28" t="s">
        <v>22</v>
      </c>
      <c r="B19"/>
      <c r="C19" s="56">
        <v>0</v>
      </c>
      <c r="H19" s="7"/>
      <c r="I19" s="7"/>
      <c r="J19" s="7"/>
      <c r="K19" s="7"/>
      <c r="L19" s="7"/>
    </row>
    <row r="20" spans="1:16" ht="21" customHeight="1">
      <c r="E20" s="101" t="s">
        <v>46</v>
      </c>
      <c r="F20" s="101"/>
      <c r="G20" s="101"/>
      <c r="H20" s="101"/>
      <c r="I20" s="101"/>
      <c r="J20" s="101"/>
      <c r="K20" s="101"/>
      <c r="L20" s="47"/>
    </row>
    <row r="21" spans="1:16" ht="29.25" customHeight="1">
      <c r="E21" s="99" t="s">
        <v>47</v>
      </c>
      <c r="F21" s="99"/>
      <c r="G21" s="102">
        <v>1</v>
      </c>
      <c r="H21" s="103" t="s">
        <v>48</v>
      </c>
      <c r="I21" s="103"/>
      <c r="J21" s="60">
        <v>0</v>
      </c>
      <c r="K21" s="30"/>
    </row>
    <row r="22" spans="1:16" ht="29.25" customHeight="1">
      <c r="E22" s="99"/>
      <c r="F22" s="99"/>
      <c r="G22" s="102"/>
      <c r="H22" s="103" t="s">
        <v>49</v>
      </c>
      <c r="I22" s="103"/>
      <c r="J22" s="60">
        <v>0</v>
      </c>
      <c r="K22" s="2"/>
      <c r="L22" s="2"/>
    </row>
    <row r="23" spans="1:16" ht="29.25" customHeight="1">
      <c r="E23" s="99" t="s">
        <v>50</v>
      </c>
      <c r="F23" s="99"/>
      <c r="G23" s="46">
        <v>1</v>
      </c>
      <c r="J23" s="30"/>
      <c r="K23" s="30"/>
    </row>
    <row r="24" spans="1:16" ht="29.25" customHeight="1">
      <c r="E24" s="99" t="s">
        <v>51</v>
      </c>
      <c r="F24" s="99"/>
      <c r="G24" s="46">
        <v>1</v>
      </c>
      <c r="H24" s="100" t="s">
        <v>52</v>
      </c>
      <c r="I24" s="100"/>
      <c r="J24" s="61">
        <v>0</v>
      </c>
      <c r="K24" s="30"/>
    </row>
    <row r="25" spans="1:16">
      <c r="H25" s="28"/>
      <c r="I25" s="28"/>
    </row>
    <row r="26" spans="1:16">
      <c r="H26" s="28"/>
      <c r="I26" s="28"/>
    </row>
    <row r="27" spans="1:16">
      <c r="H27" s="28"/>
      <c r="I27" s="28"/>
    </row>
    <row r="28" spans="1:16">
      <c r="H28" s="28"/>
      <c r="I28" s="28"/>
    </row>
    <row r="29" spans="1:16">
      <c r="H29" s="28"/>
      <c r="I29" s="28"/>
    </row>
    <row r="30" spans="1:16">
      <c r="H30" s="28"/>
      <c r="I30" s="28"/>
    </row>
    <row r="31" spans="1:16">
      <c r="H31" s="28"/>
      <c r="I31" s="28"/>
    </row>
    <row r="32" spans="1:16">
      <c r="H32" s="28"/>
      <c r="I32" s="28"/>
    </row>
    <row r="33" spans="8:9">
      <c r="H33" s="28"/>
      <c r="I33" s="28"/>
    </row>
    <row r="34" spans="8:9">
      <c r="H34" s="28"/>
      <c r="I34" s="28"/>
    </row>
    <row r="35" spans="8:9">
      <c r="H35" s="28"/>
      <c r="I35" s="28"/>
    </row>
    <row r="36" spans="8:9">
      <c r="H36" s="28"/>
      <c r="I36" s="28"/>
    </row>
    <row r="37" spans="8:9">
      <c r="H37" s="28"/>
      <c r="I37" s="28"/>
    </row>
    <row r="38" spans="8:9">
      <c r="H38" s="28"/>
      <c r="I38" s="28"/>
    </row>
    <row r="39" spans="8:9">
      <c r="H39" s="28"/>
      <c r="I39" s="28"/>
    </row>
    <row r="40" spans="8:9">
      <c r="H40" s="28"/>
      <c r="I40" s="28"/>
    </row>
    <row r="41" spans="8:9">
      <c r="H41" s="28"/>
      <c r="I41" s="28"/>
    </row>
    <row r="42" spans="8:9">
      <c r="H42" s="28"/>
      <c r="I42" s="28"/>
    </row>
    <row r="43" spans="8:9">
      <c r="H43" s="28"/>
      <c r="I43" s="28"/>
    </row>
    <row r="44" spans="8:9">
      <c r="H44" s="28"/>
      <c r="I44" s="28"/>
    </row>
    <row r="45" spans="8:9">
      <c r="H45" s="28"/>
      <c r="I45" s="28"/>
    </row>
    <row r="46" spans="8:9">
      <c r="H46" s="28"/>
      <c r="I46" s="28"/>
    </row>
    <row r="47" spans="8:9">
      <c r="H47" s="28"/>
      <c r="I47" s="28"/>
    </row>
    <row r="48" spans="8:9">
      <c r="H48" s="28"/>
      <c r="I48" s="28"/>
    </row>
    <row r="49" spans="8:9">
      <c r="H49" s="28"/>
      <c r="I49" s="28"/>
    </row>
    <row r="50" spans="8:9">
      <c r="H50" s="28"/>
      <c r="I50" s="28"/>
    </row>
    <row r="51" spans="8:9">
      <c r="H51" s="28"/>
      <c r="I51" s="28"/>
    </row>
    <row r="52" spans="8:9">
      <c r="H52" s="28"/>
      <c r="I52" s="28"/>
    </row>
    <row r="53" spans="8:9">
      <c r="H53" s="28"/>
      <c r="I53" s="28"/>
    </row>
    <row r="54" spans="8:9">
      <c r="H54" s="28"/>
      <c r="I54" s="28"/>
    </row>
    <row r="55" spans="8:9">
      <c r="H55" s="28"/>
      <c r="I55" s="28"/>
    </row>
    <row r="56" spans="8:9">
      <c r="H56" s="28"/>
      <c r="I56" s="28"/>
    </row>
    <row r="57" spans="8:9">
      <c r="H57" s="28"/>
      <c r="I57" s="28"/>
    </row>
    <row r="58" spans="8:9">
      <c r="H58" s="28"/>
      <c r="I58" s="28"/>
    </row>
  </sheetData>
  <mergeCells count="22">
    <mergeCell ref="E23:F23"/>
    <mergeCell ref="E24:F24"/>
    <mergeCell ref="H24:I24"/>
    <mergeCell ref="E20:K20"/>
    <mergeCell ref="E21:F22"/>
    <mergeCell ref="G21:G22"/>
    <mergeCell ref="H21:I21"/>
    <mergeCell ref="H22:I22"/>
    <mergeCell ref="A6:B6"/>
    <mergeCell ref="A2:B2"/>
    <mergeCell ref="A3:B3"/>
    <mergeCell ref="F6:K6"/>
    <mergeCell ref="B5:D5"/>
    <mergeCell ref="J4:L4"/>
    <mergeCell ref="I1:J1"/>
    <mergeCell ref="K1:L1"/>
    <mergeCell ref="P2:P3"/>
    <mergeCell ref="H4:I4"/>
    <mergeCell ref="B4:D4"/>
    <mergeCell ref="C2:D2"/>
    <mergeCell ref="C3:D3"/>
    <mergeCell ref="F4:G4"/>
  </mergeCells>
  <pageMargins left="0.19" right="0.19" top="0.23" bottom="0.32" header="0.25" footer="0.31496062992125984"/>
  <pageSetup paperSize="9" scale="5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C6655E60-450E-43FA-9E7B-FB7C510DD65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A5</xm:sqref>
        </x14:conditionalFormatting>
        <x14:conditionalFormatting xmlns:xm="http://schemas.microsoft.com/office/excel/2006/main">
          <x14:cfRule type="iconSet" priority="6" id="{99B02640-7508-491D-8F19-328C8981611E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C2</xm:sqref>
        </x14:conditionalFormatting>
        <x14:conditionalFormatting xmlns:xm="http://schemas.microsoft.com/office/excel/2006/main">
          <x14:cfRule type="iconSet" priority="5" id="{7604D76A-B52B-412A-B449-B46F65451A58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4" id="{A320CDA7-3384-40C5-BC53-0D20F2A4A606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J2</xm:sqref>
        </x14:conditionalFormatting>
        <x14:conditionalFormatting xmlns:xm="http://schemas.microsoft.com/office/excel/2006/main">
          <x14:cfRule type="iconSet" priority="3" id="{629F1DC0-465A-45F4-A7A0-28566B018EAB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H2</xm:sqref>
        </x14:conditionalFormatting>
        <x14:conditionalFormatting xmlns:xm="http://schemas.microsoft.com/office/excel/2006/main">
          <x14:cfRule type="iconSet" priority="1" id="{4FE44E6D-EB1C-4C1C-B168-A902BF7B8AF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F2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topLeftCell="A34" zoomScale="60" zoomScaleNormal="60" workbookViewId="0">
      <selection activeCell="E34" sqref="E34:E35"/>
    </sheetView>
  </sheetViews>
  <sheetFormatPr defaultColWidth="11" defaultRowHeight="15.75"/>
  <cols>
    <col min="1" max="1" width="23.875" style="14" customWidth="1"/>
    <col min="2" max="2" width="43.125" style="14" customWidth="1"/>
    <col min="3" max="3" width="24.125" style="14" customWidth="1"/>
    <col min="4" max="4" width="11.5" style="14" customWidth="1"/>
    <col min="5" max="5" width="15" style="14" customWidth="1"/>
    <col min="6" max="6" width="12.125" style="15" customWidth="1"/>
    <col min="7" max="7" width="11.5" style="15" customWidth="1"/>
    <col min="8" max="8" width="12.5" style="16" customWidth="1"/>
    <col min="9" max="9" width="10.625" style="13" customWidth="1"/>
    <col min="10" max="10" width="11.125" style="13" customWidth="1"/>
    <col min="11" max="11" width="15.625" customWidth="1"/>
    <col min="12" max="12" width="13.875" style="13" customWidth="1"/>
    <col min="13" max="13" width="19.125" style="36" customWidth="1"/>
    <col min="14" max="14" width="16.25" customWidth="1"/>
    <col min="15" max="15" width="1.875" style="34" hidden="1" customWidth="1"/>
  </cols>
  <sheetData>
    <row r="1" spans="1:15" s="9" customFormat="1" ht="83.25" customHeight="1">
      <c r="A1" s="19" t="s">
        <v>24</v>
      </c>
      <c r="B1" s="19" t="s">
        <v>25</v>
      </c>
      <c r="C1" s="19" t="s">
        <v>7</v>
      </c>
      <c r="D1" s="20" t="s">
        <v>6</v>
      </c>
      <c r="E1" s="20" t="s">
        <v>42</v>
      </c>
      <c r="F1" s="20" t="s">
        <v>29</v>
      </c>
      <c r="G1" s="20" t="s">
        <v>26</v>
      </c>
      <c r="H1" s="21" t="s">
        <v>30</v>
      </c>
      <c r="I1" s="22" t="s">
        <v>27</v>
      </c>
      <c r="J1" s="22" t="s">
        <v>43</v>
      </c>
      <c r="K1" s="37" t="s">
        <v>44</v>
      </c>
      <c r="L1" s="22" t="s">
        <v>34</v>
      </c>
      <c r="M1" s="35" t="s">
        <v>45</v>
      </c>
      <c r="O1" s="33"/>
    </row>
    <row r="2" spans="1:15" s="9" customFormat="1" ht="38.25">
      <c r="A2" s="84" t="s">
        <v>63</v>
      </c>
      <c r="B2" s="86" t="s">
        <v>64</v>
      </c>
      <c r="C2" s="10" t="s">
        <v>5</v>
      </c>
      <c r="D2" s="24">
        <v>39</v>
      </c>
      <c r="E2" s="24">
        <v>22</v>
      </c>
      <c r="F2" s="25">
        <v>3</v>
      </c>
      <c r="G2" s="25">
        <v>60</v>
      </c>
      <c r="H2" s="26">
        <v>84</v>
      </c>
      <c r="I2" s="73">
        <f>HLOOKUP($C2,'Параметры ПФ'!$F$7:$K$12,6,FALSE)</f>
        <v>56.64</v>
      </c>
      <c r="J2" s="73">
        <f t="shared" ref="J2:J34" si="0">IF(H2=0,I2*F2*E2,IF(I2&gt;H2,H2*F2*E2,I2*F2*E2))</f>
        <v>3738.24</v>
      </c>
      <c r="K2" s="74">
        <f>IF(J2&lt;'Параметры ПФ'!J$3+0.01,'Стандартные программы'!J2,ROUNDDOWN('Параметры ПФ'!J$3/IF(H2=0,I2,IF(I2&gt;H2,H2,I2)),0)*IF(H2=0,I2,IF(I2&gt;H2,H2,I2)))</f>
        <v>3738.24</v>
      </c>
      <c r="L2" s="73">
        <f t="shared" ref="L2:L34" si="1">K2*G2</f>
        <v>224294.39999999999</v>
      </c>
      <c r="M2" s="75">
        <f t="shared" ref="M2:M34" si="2">IF(H2=0,I2*F2*E2,IF(I2&gt;H2,H2*F2*E2,I2*F2*E2))-K2</f>
        <v>0</v>
      </c>
      <c r="O2" s="33"/>
    </row>
    <row r="3" spans="1:15" ht="38.25">
      <c r="A3" s="84" t="s">
        <v>63</v>
      </c>
      <c r="B3" s="86" t="s">
        <v>64</v>
      </c>
      <c r="C3" s="10" t="s">
        <v>5</v>
      </c>
      <c r="D3" s="24">
        <v>39</v>
      </c>
      <c r="E3" s="24">
        <v>17</v>
      </c>
      <c r="F3" s="25">
        <v>3</v>
      </c>
      <c r="G3" s="25">
        <v>60</v>
      </c>
      <c r="H3" s="26">
        <v>84</v>
      </c>
      <c r="I3" s="73">
        <f>HLOOKUP($C3,'Параметры ПФ'!$F$7:$K$12,6,FALSE)</f>
        <v>56.64</v>
      </c>
      <c r="J3" s="73">
        <f>IF(H3=0,I3*F3*E3,IF(I3&gt;H3,H3*F3*E3,I3*F3*E3))</f>
        <v>2888.64</v>
      </c>
      <c r="K3" s="74">
        <f>IF(J3&lt;'Параметры ПФ'!J$3+0.01,'Стандартные программы'!J3,ROUNDDOWN('Параметры ПФ'!J$3/IF(H3=0,I3,IF(I3&gt;H3,H3,I3)),0)*IF(H3=0,I3,IF(I3&gt;H3,H3,I3)))</f>
        <v>2888.64</v>
      </c>
      <c r="L3" s="73">
        <f>K3*G3</f>
        <v>173318.39999999999</v>
      </c>
      <c r="M3" s="75">
        <f>IF(H3=0,I3*F3*E3,IF(I3&gt;H3,H3*F3*E3,I3*F3*E3))-K3</f>
        <v>0</v>
      </c>
      <c r="O3" s="34">
        <f>IF(M3=0,0,IF(M3&gt;'[1]Расчет нормативных затрат'!J$2/2,0,IF(M3&lt;'[1]Расчет нормативных затрат'!J$2/3,2,1)))</f>
        <v>0</v>
      </c>
    </row>
    <row r="4" spans="1:15" s="9" customFormat="1" ht="38.25">
      <c r="A4" s="84" t="s">
        <v>63</v>
      </c>
      <c r="B4" s="86" t="s">
        <v>65</v>
      </c>
      <c r="C4" s="10" t="s">
        <v>5</v>
      </c>
      <c r="D4" s="24">
        <v>39</v>
      </c>
      <c r="E4" s="24">
        <v>22</v>
      </c>
      <c r="F4" s="25">
        <v>3</v>
      </c>
      <c r="G4" s="25">
        <v>30</v>
      </c>
      <c r="H4" s="26">
        <v>84</v>
      </c>
      <c r="I4" s="73">
        <f>HLOOKUP($C4,'Параметры ПФ'!$F$7:$K$12,6,FALSE)</f>
        <v>56.64</v>
      </c>
      <c r="J4" s="73">
        <f t="shared" si="0"/>
        <v>3738.24</v>
      </c>
      <c r="K4" s="74">
        <f>IF(J4&lt;'Параметры ПФ'!J$3+0.01,'Стандартные программы'!J4,ROUNDDOWN('Параметры ПФ'!J$3/IF(H4=0,I4,IF(I4&gt;H4,H4,I4)),0)*IF(H4=0,I4,IF(I4&gt;H4,H4,I4)))</f>
        <v>3738.24</v>
      </c>
      <c r="L4" s="73">
        <f t="shared" si="1"/>
        <v>112147.2</v>
      </c>
      <c r="M4" s="75">
        <f t="shared" si="2"/>
        <v>0</v>
      </c>
      <c r="O4" s="33"/>
    </row>
    <row r="5" spans="1:15" ht="38.25">
      <c r="A5" s="84" t="s">
        <v>63</v>
      </c>
      <c r="B5" s="86" t="s">
        <v>65</v>
      </c>
      <c r="C5" s="10" t="s">
        <v>5</v>
      </c>
      <c r="D5" s="24">
        <v>39</v>
      </c>
      <c r="E5" s="24">
        <v>17</v>
      </c>
      <c r="F5" s="25">
        <v>3</v>
      </c>
      <c r="G5" s="25">
        <v>30</v>
      </c>
      <c r="H5" s="26">
        <v>84</v>
      </c>
      <c r="I5" s="73">
        <f>HLOOKUP($C5,'Параметры ПФ'!$F$7:$K$12,6,FALSE)</f>
        <v>56.64</v>
      </c>
      <c r="J5" s="73">
        <f>IF(H5=0,I5*F5*E5,IF(I5&gt;H5,H5*F5*E5,I5*F5*E5))</f>
        <v>2888.64</v>
      </c>
      <c r="K5" s="74">
        <f>IF(J5&lt;'Параметры ПФ'!J$3+0.01,'Стандартные программы'!J5,ROUNDDOWN('Параметры ПФ'!J$3/IF(H5=0,I5,IF(I5&gt;H5,H5,I5)),0)*IF(H5=0,I5,IF(I5&gt;H5,H5,I5)))</f>
        <v>2888.64</v>
      </c>
      <c r="L5" s="73">
        <f>K5*G5</f>
        <v>86659.199999999997</v>
      </c>
      <c r="M5" s="75">
        <f>IF(H5=0,I5*F5*E5,IF(I5&gt;H5,H5*F5*E5,I5*F5*E5))-K5</f>
        <v>0</v>
      </c>
    </row>
    <row r="6" spans="1:15" s="9" customFormat="1" ht="38.25">
      <c r="A6" s="84" t="s">
        <v>63</v>
      </c>
      <c r="B6" s="86" t="s">
        <v>66</v>
      </c>
      <c r="C6" s="10" t="s">
        <v>5</v>
      </c>
      <c r="D6" s="24">
        <v>39</v>
      </c>
      <c r="E6" s="24">
        <v>22</v>
      </c>
      <c r="F6" s="25">
        <v>3</v>
      </c>
      <c r="G6" s="25">
        <v>30</v>
      </c>
      <c r="H6" s="26">
        <v>84</v>
      </c>
      <c r="I6" s="73">
        <f>HLOOKUP($C6,'Параметры ПФ'!$F$7:$K$12,6,FALSE)</f>
        <v>56.64</v>
      </c>
      <c r="J6" s="73">
        <f t="shared" si="0"/>
        <v>3738.24</v>
      </c>
      <c r="K6" s="74">
        <f>IF(J6&lt;'Параметры ПФ'!J$3+0.01,'Стандартные программы'!J6,ROUNDDOWN('Параметры ПФ'!J$3/IF(H6=0,I6,IF(I6&gt;H6,H6,I6)),0)*IF(H6=0,I6,IF(I6&gt;H6,H6,I6)))</f>
        <v>3738.24</v>
      </c>
      <c r="L6" s="73">
        <f t="shared" si="1"/>
        <v>112147.2</v>
      </c>
      <c r="M6" s="75">
        <f t="shared" si="2"/>
        <v>0</v>
      </c>
      <c r="O6" s="33"/>
    </row>
    <row r="7" spans="1:15" ht="38.25">
      <c r="A7" s="84" t="s">
        <v>63</v>
      </c>
      <c r="B7" s="86" t="s">
        <v>66</v>
      </c>
      <c r="C7" s="10" t="s">
        <v>5</v>
      </c>
      <c r="D7" s="24">
        <v>39</v>
      </c>
      <c r="E7" s="24">
        <v>17</v>
      </c>
      <c r="F7" s="25">
        <v>3</v>
      </c>
      <c r="G7" s="25">
        <v>30</v>
      </c>
      <c r="H7" s="26">
        <v>84</v>
      </c>
      <c r="I7" s="73">
        <f>HLOOKUP($C7,'Параметры ПФ'!$F$7:$K$12,6,FALSE)</f>
        <v>56.64</v>
      </c>
      <c r="J7" s="73">
        <f>IF(H7=0,I7*F7*E7,IF(I7&gt;H7,H7*F7*E7,I7*F7*E7))</f>
        <v>2888.64</v>
      </c>
      <c r="K7" s="74">
        <f>IF(J7&lt;'Параметры ПФ'!J$3+0.01,'Стандартные программы'!J7,ROUNDDOWN('Параметры ПФ'!J$3/IF(H7=0,I7,IF(I7&gt;H7,H7,I7)),0)*IF(H7=0,I7,IF(I7&gt;H7,H7,I7)))</f>
        <v>2888.64</v>
      </c>
      <c r="L7" s="73">
        <f>K7*G7</f>
        <v>86659.199999999997</v>
      </c>
      <c r="M7" s="75">
        <f>IF(H7=0,I7*F7*E7,IF(I7&gt;H7,H7*F7*E7,I7*F7*E7))-K7</f>
        <v>0</v>
      </c>
    </row>
    <row r="8" spans="1:15" s="9" customFormat="1" ht="38.25">
      <c r="A8" s="84" t="s">
        <v>63</v>
      </c>
      <c r="B8" s="86" t="s">
        <v>67</v>
      </c>
      <c r="C8" s="10" t="s">
        <v>5</v>
      </c>
      <c r="D8" s="24">
        <v>30</v>
      </c>
      <c r="E8" s="24">
        <v>13</v>
      </c>
      <c r="F8" s="25">
        <v>3</v>
      </c>
      <c r="G8" s="25">
        <v>30</v>
      </c>
      <c r="H8" s="26">
        <v>84</v>
      </c>
      <c r="I8" s="73">
        <f>HLOOKUP($C8,'Параметры ПФ'!$F$7:$K$12,6,FALSE)</f>
        <v>56.64</v>
      </c>
      <c r="J8" s="73">
        <f t="shared" si="0"/>
        <v>2208.96</v>
      </c>
      <c r="K8" s="74">
        <f>IF(J8&lt;'Параметры ПФ'!J$3+0.01,'Стандартные программы'!J8,ROUNDDOWN('Параметры ПФ'!J$3/IF(H8=0,I8,IF(I8&gt;H8,H8,I8)),0)*IF(H8=0,I8,IF(I8&gt;H8,H8,I8)))</f>
        <v>2208.96</v>
      </c>
      <c r="L8" s="73">
        <f t="shared" si="1"/>
        <v>66268.800000000003</v>
      </c>
      <c r="M8" s="75">
        <f t="shared" si="2"/>
        <v>0</v>
      </c>
      <c r="O8" s="33"/>
    </row>
    <row r="9" spans="1:15" ht="38.25">
      <c r="A9" s="84" t="s">
        <v>63</v>
      </c>
      <c r="B9" s="10" t="s">
        <v>67</v>
      </c>
      <c r="C9" s="10" t="s">
        <v>5</v>
      </c>
      <c r="D9" s="24">
        <v>30</v>
      </c>
      <c r="E9" s="24">
        <v>17</v>
      </c>
      <c r="F9" s="25">
        <v>3</v>
      </c>
      <c r="G9" s="25">
        <v>30</v>
      </c>
      <c r="H9" s="26">
        <v>84</v>
      </c>
      <c r="I9" s="73">
        <f>HLOOKUP($C9,'Параметры ПФ'!$F$7:$K$12,6,FALSE)</f>
        <v>56.64</v>
      </c>
      <c r="J9" s="73">
        <f>IF(H9=0,I9*F9*E9,IF(I9&gt;H9,H9*F9*E9,I9*F9*E9))</f>
        <v>2888.64</v>
      </c>
      <c r="K9" s="74">
        <f>IF(J9&lt;'Параметры ПФ'!J$3+0.01,'Стандартные программы'!J9,ROUNDDOWN('Параметры ПФ'!J$3/IF(H9=0,I9,IF(I9&gt;H9,H9,I9)),0)*IF(H9=0,I9,IF(I9&gt;H9,H9,I9)))</f>
        <v>2888.64</v>
      </c>
      <c r="L9" s="73">
        <f>K9*G9</f>
        <v>86659.199999999997</v>
      </c>
      <c r="M9" s="75">
        <f>IF(H9=0,I9*F9*E9,IF(I9&gt;H9,H9*F9*E9,I9*F9*E9))-K9</f>
        <v>0</v>
      </c>
    </row>
    <row r="10" spans="1:15" s="9" customFormat="1" ht="38.25">
      <c r="A10" s="84" t="s">
        <v>63</v>
      </c>
      <c r="B10" s="10" t="s">
        <v>68</v>
      </c>
      <c r="C10" s="10" t="s">
        <v>5</v>
      </c>
      <c r="D10" s="24">
        <v>30</v>
      </c>
      <c r="E10" s="24">
        <v>13</v>
      </c>
      <c r="F10" s="25">
        <v>3</v>
      </c>
      <c r="G10" s="25">
        <v>30</v>
      </c>
      <c r="H10" s="26">
        <v>84</v>
      </c>
      <c r="I10" s="73">
        <f>HLOOKUP($C10,'Параметры ПФ'!$F$7:$K$12,6,FALSE)</f>
        <v>56.64</v>
      </c>
      <c r="J10" s="73">
        <f t="shared" si="0"/>
        <v>2208.96</v>
      </c>
      <c r="K10" s="74">
        <f>IF(J10&lt;'Параметры ПФ'!J$3+0.01,'Стандартные программы'!J10,ROUNDDOWN('Параметры ПФ'!J$3/IF(H10=0,I10,IF(I10&gt;H10,H10,I10)),0)*IF(H10=0,I10,IF(I10&gt;H10,H10,I10)))</f>
        <v>2208.96</v>
      </c>
      <c r="L10" s="73">
        <f t="shared" si="1"/>
        <v>66268.800000000003</v>
      </c>
      <c r="M10" s="75">
        <f t="shared" si="2"/>
        <v>0</v>
      </c>
      <c r="O10" s="33"/>
    </row>
    <row r="11" spans="1:15" ht="38.25">
      <c r="A11" s="84" t="s">
        <v>63</v>
      </c>
      <c r="B11" s="10" t="s">
        <v>68</v>
      </c>
      <c r="C11" s="10" t="s">
        <v>5</v>
      </c>
      <c r="D11" s="24">
        <v>30</v>
      </c>
      <c r="E11" s="24">
        <v>17</v>
      </c>
      <c r="F11" s="25">
        <v>3</v>
      </c>
      <c r="G11" s="25">
        <v>30</v>
      </c>
      <c r="H11" s="26">
        <v>84</v>
      </c>
      <c r="I11" s="73">
        <f>HLOOKUP($C11,'Параметры ПФ'!$F$7:$K$12,6,FALSE)</f>
        <v>56.64</v>
      </c>
      <c r="J11" s="73">
        <f>IF(H11=0,I11*F11*E11,IF(I11&gt;H11,H11*F11*E11,I11*F11*E11))</f>
        <v>2888.64</v>
      </c>
      <c r="K11" s="74">
        <f>IF(J11&lt;'Параметры ПФ'!J$3+0.01,'Стандартные программы'!J11,ROUNDDOWN('Параметры ПФ'!J$3/IF(H11=0,I11,IF(I11&gt;H11,H11,I11)),0)*IF(H11=0,I11,IF(I11&gt;H11,H11,I11)))</f>
        <v>2888.64</v>
      </c>
      <c r="L11" s="73">
        <f>K11*G11</f>
        <v>86659.199999999997</v>
      </c>
      <c r="M11" s="75">
        <f>IF(H11=0,I11*F11*E11,IF(I11&gt;H11,H11*F11*E11,I11*F11*E11))-K11</f>
        <v>0</v>
      </c>
    </row>
    <row r="12" spans="1:15" s="9" customFormat="1" ht="38.25">
      <c r="A12" s="84" t="s">
        <v>63</v>
      </c>
      <c r="B12" s="10" t="s">
        <v>69</v>
      </c>
      <c r="C12" s="10" t="s">
        <v>5</v>
      </c>
      <c r="D12" s="24">
        <v>30</v>
      </c>
      <c r="E12" s="24">
        <v>13</v>
      </c>
      <c r="F12" s="25">
        <v>3</v>
      </c>
      <c r="G12" s="25">
        <v>30</v>
      </c>
      <c r="H12" s="26">
        <v>84</v>
      </c>
      <c r="I12" s="73">
        <f>HLOOKUP($C12,'Параметры ПФ'!$F$7:$K$12,6,FALSE)</f>
        <v>56.64</v>
      </c>
      <c r="J12" s="73">
        <f t="shared" si="0"/>
        <v>2208.96</v>
      </c>
      <c r="K12" s="74">
        <f>IF(J12&lt;'Параметры ПФ'!J$3+0.01,'Стандартные программы'!J12,ROUNDDOWN('Параметры ПФ'!J$3/IF(H12=0,I12,IF(I12&gt;H12,H12,I12)),0)*IF(H12=0,I12,IF(I12&gt;H12,H12,I12)))</f>
        <v>2208.96</v>
      </c>
      <c r="L12" s="73">
        <f t="shared" si="1"/>
        <v>66268.800000000003</v>
      </c>
      <c r="M12" s="75">
        <f t="shared" si="2"/>
        <v>0</v>
      </c>
      <c r="O12" s="33"/>
    </row>
    <row r="13" spans="1:15" ht="38.25">
      <c r="A13" s="84" t="s">
        <v>63</v>
      </c>
      <c r="B13" s="10" t="s">
        <v>69</v>
      </c>
      <c r="C13" s="10" t="s">
        <v>5</v>
      </c>
      <c r="D13" s="24">
        <v>30</v>
      </c>
      <c r="E13" s="24">
        <v>17</v>
      </c>
      <c r="F13" s="25">
        <v>3</v>
      </c>
      <c r="G13" s="25">
        <v>30</v>
      </c>
      <c r="H13" s="26">
        <v>84</v>
      </c>
      <c r="I13" s="73">
        <f>HLOOKUP($C13,'Параметры ПФ'!$F$7:$K$12,6,FALSE)</f>
        <v>56.64</v>
      </c>
      <c r="J13" s="73">
        <f>IF(H13=0,I13*F13*E13,IF(I13&gt;H13,H13*F13*E13,I13*F13*E13))</f>
        <v>2888.64</v>
      </c>
      <c r="K13" s="74">
        <f>IF(J13&lt;'Параметры ПФ'!J$3+0.01,'Стандартные программы'!J13,ROUNDDOWN('Параметры ПФ'!J$3/IF(H13=0,I13,IF(I13&gt;H13,H13,I13)),0)*IF(H13=0,I13,IF(I13&gt;H13,H13,I13)))</f>
        <v>2888.64</v>
      </c>
      <c r="L13" s="73">
        <f>K13*G13</f>
        <v>86659.199999999997</v>
      </c>
      <c r="M13" s="75">
        <f>IF(H13=0,I13*F13*E13,IF(I13&gt;H13,H13*F13*E13,I13*F13*E13))-K13</f>
        <v>0</v>
      </c>
    </row>
    <row r="14" spans="1:15" s="9" customFormat="1" ht="38.25">
      <c r="A14" s="84" t="s">
        <v>63</v>
      </c>
      <c r="B14" s="10" t="s">
        <v>68</v>
      </c>
      <c r="C14" s="10" t="s">
        <v>5</v>
      </c>
      <c r="D14" s="24">
        <v>30</v>
      </c>
      <c r="E14" s="24">
        <v>13</v>
      </c>
      <c r="F14" s="25">
        <v>3</v>
      </c>
      <c r="G14" s="25">
        <v>30</v>
      </c>
      <c r="H14" s="26">
        <v>84</v>
      </c>
      <c r="I14" s="73">
        <f>HLOOKUP($C14,'Параметры ПФ'!$F$7:$K$12,6,FALSE)</f>
        <v>56.64</v>
      </c>
      <c r="J14" s="73">
        <f t="shared" si="0"/>
        <v>2208.96</v>
      </c>
      <c r="K14" s="74">
        <f>IF(J14&lt;'Параметры ПФ'!J$3+0.01,'Стандартные программы'!J14,ROUNDDOWN('Параметры ПФ'!J$3/IF(H14=0,I14,IF(I14&gt;H14,H14,I14)),0)*IF(H14=0,I14,IF(I14&gt;H14,H14,I14)))</f>
        <v>2208.96</v>
      </c>
      <c r="L14" s="73">
        <f t="shared" si="1"/>
        <v>66268.800000000003</v>
      </c>
      <c r="M14" s="75">
        <f t="shared" si="2"/>
        <v>0</v>
      </c>
      <c r="O14" s="33"/>
    </row>
    <row r="15" spans="1:15" ht="38.25">
      <c r="A15" s="84" t="s">
        <v>63</v>
      </c>
      <c r="B15" s="10" t="s">
        <v>68</v>
      </c>
      <c r="C15" s="10" t="s">
        <v>5</v>
      </c>
      <c r="D15" s="24">
        <v>30</v>
      </c>
      <c r="E15" s="24">
        <v>17</v>
      </c>
      <c r="F15" s="25">
        <v>3</v>
      </c>
      <c r="G15" s="25">
        <v>30</v>
      </c>
      <c r="H15" s="26">
        <v>84</v>
      </c>
      <c r="I15" s="73">
        <f>HLOOKUP($C15,'Параметры ПФ'!$F$7:$K$12,6,FALSE)</f>
        <v>56.64</v>
      </c>
      <c r="J15" s="73">
        <f>IF(H15=0,I15*F15*E15,IF(I15&gt;H15,H15*F15*E15,I15*F15*E15))</f>
        <v>2888.64</v>
      </c>
      <c r="K15" s="74">
        <f>IF(J15&lt;'Параметры ПФ'!J$3+0.01,'Стандартные программы'!J15,ROUNDDOWN('Параметры ПФ'!J$3/IF(H15=0,I15,IF(I15&gt;H15,H15,I15)),0)*IF(H15=0,I15,IF(I15&gt;H15,H15,I15)))</f>
        <v>2888.64</v>
      </c>
      <c r="L15" s="73">
        <f>K15*G15</f>
        <v>86659.199999999997</v>
      </c>
      <c r="M15" s="75">
        <f>IF(H15=0,I15*F15*E15,IF(I15&gt;H15,H15*F15*E15,I15*F15*E15))-K15</f>
        <v>0</v>
      </c>
    </row>
    <row r="16" spans="1:15" s="9" customFormat="1" ht="38.25">
      <c r="A16" s="84" t="s">
        <v>63</v>
      </c>
      <c r="B16" s="10" t="s">
        <v>70</v>
      </c>
      <c r="C16" s="10" t="s">
        <v>5</v>
      </c>
      <c r="D16" s="24">
        <v>30</v>
      </c>
      <c r="E16" s="24">
        <v>13</v>
      </c>
      <c r="F16" s="25">
        <v>3</v>
      </c>
      <c r="G16" s="25">
        <v>30</v>
      </c>
      <c r="H16" s="26">
        <v>84</v>
      </c>
      <c r="I16" s="73">
        <f>HLOOKUP($C16,'Параметры ПФ'!$F$7:$K$12,6,FALSE)</f>
        <v>56.64</v>
      </c>
      <c r="J16" s="73">
        <f t="shared" si="0"/>
        <v>2208.96</v>
      </c>
      <c r="K16" s="74">
        <f>IF(J16&lt;'Параметры ПФ'!J$3+0.01,'Стандартные программы'!J16,ROUNDDOWN('Параметры ПФ'!J$3/IF(H16=0,I16,IF(I16&gt;H16,H16,I16)),0)*IF(H16=0,I16,IF(I16&gt;H16,H16,I16)))</f>
        <v>2208.96</v>
      </c>
      <c r="L16" s="73">
        <f t="shared" si="1"/>
        <v>66268.800000000003</v>
      </c>
      <c r="M16" s="75">
        <f t="shared" si="2"/>
        <v>0</v>
      </c>
      <c r="O16" s="33"/>
    </row>
    <row r="17" spans="1:15" ht="38.25">
      <c r="A17" s="84" t="s">
        <v>63</v>
      </c>
      <c r="B17" s="10" t="s">
        <v>70</v>
      </c>
      <c r="C17" s="10" t="s">
        <v>5</v>
      </c>
      <c r="D17" s="24">
        <v>30</v>
      </c>
      <c r="E17" s="24">
        <v>17</v>
      </c>
      <c r="F17" s="25">
        <v>3</v>
      </c>
      <c r="G17" s="25">
        <v>30</v>
      </c>
      <c r="H17" s="26">
        <v>84</v>
      </c>
      <c r="I17" s="73">
        <f>HLOOKUP($C17,'Параметры ПФ'!$F$7:$K$12,6,FALSE)</f>
        <v>56.64</v>
      </c>
      <c r="J17" s="73">
        <f>IF(H17=0,I17*F17*E17,IF(I17&gt;H17,H17*F17*E17,I17*F17*E17))</f>
        <v>2888.64</v>
      </c>
      <c r="K17" s="74">
        <f>IF(J17&lt;'Параметры ПФ'!J$3+0.01,'Стандартные программы'!J17,ROUNDDOWN('Параметры ПФ'!J$3/IF(H17=0,I17,IF(I17&gt;H17,H17,I17)),0)*IF(H17=0,I17,IF(I17&gt;H17,H17,I17)))</f>
        <v>2888.64</v>
      </c>
      <c r="L17" s="73">
        <f>K17*G17</f>
        <v>86659.199999999997</v>
      </c>
      <c r="M17" s="75">
        <f>IF(H17=0,I17*F17*E17,IF(I17&gt;H17,H17*F17*E17,I17*F17*E17))-K17</f>
        <v>0</v>
      </c>
    </row>
    <row r="18" spans="1:15" s="9" customFormat="1" ht="38.25">
      <c r="A18" s="84" t="s">
        <v>63</v>
      </c>
      <c r="B18" s="10" t="s">
        <v>71</v>
      </c>
      <c r="C18" s="10" t="s">
        <v>5</v>
      </c>
      <c r="D18" s="24">
        <v>30</v>
      </c>
      <c r="E18" s="24">
        <v>13</v>
      </c>
      <c r="F18" s="25">
        <v>3</v>
      </c>
      <c r="G18" s="25">
        <v>30</v>
      </c>
      <c r="H18" s="26">
        <v>84</v>
      </c>
      <c r="I18" s="73">
        <f>HLOOKUP($C18,'Параметры ПФ'!$F$7:$K$12,6,FALSE)</f>
        <v>56.64</v>
      </c>
      <c r="J18" s="73">
        <f t="shared" si="0"/>
        <v>2208.96</v>
      </c>
      <c r="K18" s="74">
        <f>IF(J18&lt;'Параметры ПФ'!J$3+0.01,'Стандартные программы'!J18,ROUNDDOWN('Параметры ПФ'!J$3/IF(H18=0,I18,IF(I18&gt;H18,H18,I18)),0)*IF(H18=0,I18,IF(I18&gt;H18,H18,I18)))</f>
        <v>2208.96</v>
      </c>
      <c r="L18" s="73">
        <f t="shared" si="1"/>
        <v>66268.800000000003</v>
      </c>
      <c r="M18" s="75">
        <f t="shared" si="2"/>
        <v>0</v>
      </c>
      <c r="O18" s="33"/>
    </row>
    <row r="19" spans="1:15" ht="38.25">
      <c r="A19" s="84" t="s">
        <v>63</v>
      </c>
      <c r="B19" s="10" t="s">
        <v>71</v>
      </c>
      <c r="C19" s="10" t="s">
        <v>5</v>
      </c>
      <c r="D19" s="24">
        <v>30</v>
      </c>
      <c r="E19" s="24">
        <v>17</v>
      </c>
      <c r="F19" s="25">
        <v>3</v>
      </c>
      <c r="G19" s="25">
        <v>30</v>
      </c>
      <c r="H19" s="26">
        <v>84</v>
      </c>
      <c r="I19" s="73">
        <f>HLOOKUP($C19,'Параметры ПФ'!$F$7:$K$12,6,FALSE)</f>
        <v>56.64</v>
      </c>
      <c r="J19" s="73">
        <f>IF(H19=0,I19*F19*E19,IF(I19&gt;H19,H19*F19*E19,I19*F19*E19))</f>
        <v>2888.64</v>
      </c>
      <c r="K19" s="74">
        <f>IF(J19&lt;'Параметры ПФ'!J$3+0.01,'Стандартные программы'!J19,ROUNDDOWN('Параметры ПФ'!J$3/IF(H19=0,I19,IF(I19&gt;H19,H19,I19)),0)*IF(H19=0,I19,IF(I19&gt;H19,H19,I19)))</f>
        <v>2888.64</v>
      </c>
      <c r="L19" s="73">
        <f>K19*G19</f>
        <v>86659.199999999997</v>
      </c>
      <c r="M19" s="75">
        <f>IF(H19=0,I19*F19*E19,IF(I19&gt;H19,H19*F19*E19,I19*F19*E19))-K19</f>
        <v>0</v>
      </c>
    </row>
    <row r="20" spans="1:15" s="9" customFormat="1" ht="38.25">
      <c r="A20" s="84" t="s">
        <v>63</v>
      </c>
      <c r="B20" s="10" t="s">
        <v>72</v>
      </c>
      <c r="C20" s="10" t="s">
        <v>5</v>
      </c>
      <c r="D20" s="24">
        <v>30</v>
      </c>
      <c r="E20" s="24">
        <v>13</v>
      </c>
      <c r="F20" s="25">
        <v>4</v>
      </c>
      <c r="G20" s="25">
        <v>24</v>
      </c>
      <c r="H20" s="26">
        <v>84</v>
      </c>
      <c r="I20" s="73">
        <f>HLOOKUP($C20,'Параметры ПФ'!$F$7:$K$12,6,FALSE)</f>
        <v>56.64</v>
      </c>
      <c r="J20" s="73">
        <f t="shared" si="0"/>
        <v>2945.28</v>
      </c>
      <c r="K20" s="74">
        <f>IF(J20&lt;'Параметры ПФ'!J$3+0.01,'Стандартные программы'!J20,ROUNDDOWN('Параметры ПФ'!J$3/IF(H20=0,I20,IF(I20&gt;H20,H20,I20)),0)*IF(H20=0,I20,IF(I20&gt;H20,H20,I20)))</f>
        <v>2945.28</v>
      </c>
      <c r="L20" s="73">
        <f t="shared" si="1"/>
        <v>70686.720000000001</v>
      </c>
      <c r="M20" s="75">
        <f t="shared" si="2"/>
        <v>0</v>
      </c>
      <c r="O20" s="33"/>
    </row>
    <row r="21" spans="1:15" ht="38.25">
      <c r="A21" s="84" t="s">
        <v>63</v>
      </c>
      <c r="B21" s="10" t="s">
        <v>72</v>
      </c>
      <c r="C21" s="10" t="s">
        <v>5</v>
      </c>
      <c r="D21" s="24">
        <v>30</v>
      </c>
      <c r="E21" s="24">
        <v>17</v>
      </c>
      <c r="F21" s="25">
        <v>4</v>
      </c>
      <c r="G21" s="25">
        <v>24</v>
      </c>
      <c r="H21" s="26">
        <v>84</v>
      </c>
      <c r="I21" s="73">
        <f>HLOOKUP($C21,'Параметры ПФ'!$F$7:$K$12,6,FALSE)</f>
        <v>56.64</v>
      </c>
      <c r="J21" s="73">
        <f>IF(H21=0,I21*F21*E21,IF(I21&gt;H21,H21*F21*E21,I21*F21*E21))</f>
        <v>3851.52</v>
      </c>
      <c r="K21" s="74">
        <f>IF(J21&lt;'Параметры ПФ'!J$3+0.01,'Стандартные программы'!J21,ROUNDDOWN('Параметры ПФ'!J$3/IF(H21=0,I21,IF(I21&gt;H21,H21,I21)),0)*IF(H21=0,I21,IF(I21&gt;H21,H21,I21)))</f>
        <v>3851.52</v>
      </c>
      <c r="L21" s="73">
        <f>K21*G21</f>
        <v>92436.479999999996</v>
      </c>
      <c r="M21" s="75">
        <f>IF(H21=0,I21*F21*E21,IF(I21&gt;H21,H21*F21*E21,I21*F21*E21))-K21</f>
        <v>0</v>
      </c>
    </row>
    <row r="22" spans="1:15" s="9" customFormat="1" ht="38.25">
      <c r="A22" s="84" t="s">
        <v>63</v>
      </c>
      <c r="B22" s="10" t="s">
        <v>78</v>
      </c>
      <c r="C22" s="10" t="s">
        <v>5</v>
      </c>
      <c r="D22" s="24">
        <v>30</v>
      </c>
      <c r="E22" s="24">
        <v>13</v>
      </c>
      <c r="F22" s="25">
        <v>4</v>
      </c>
      <c r="G22" s="25">
        <v>20</v>
      </c>
      <c r="H22" s="26">
        <v>84</v>
      </c>
      <c r="I22" s="73">
        <f>HLOOKUP($C22,'Параметры ПФ'!$F$7:$K$12,6,FALSE)</f>
        <v>56.64</v>
      </c>
      <c r="J22" s="73">
        <f t="shared" si="0"/>
        <v>2945.28</v>
      </c>
      <c r="K22" s="74">
        <f>IF(J22&lt;'Параметры ПФ'!J$3+0.01,'Стандартные программы'!J22,ROUNDDOWN('Параметры ПФ'!J$3/IF(H22=0,I22,IF(I22&gt;H22,H22,I22)),0)*IF(H22=0,I22,IF(I22&gt;H22,H22,I22)))</f>
        <v>2945.28</v>
      </c>
      <c r="L22" s="73">
        <f t="shared" si="1"/>
        <v>58905.599999999999</v>
      </c>
      <c r="M22" s="75">
        <f t="shared" si="2"/>
        <v>0</v>
      </c>
      <c r="O22" s="33"/>
    </row>
    <row r="23" spans="1:15" ht="38.25">
      <c r="A23" s="84" t="s">
        <v>63</v>
      </c>
      <c r="B23" s="10" t="s">
        <v>78</v>
      </c>
      <c r="C23" s="10" t="s">
        <v>5</v>
      </c>
      <c r="D23" s="24">
        <v>30</v>
      </c>
      <c r="E23" s="24">
        <v>17</v>
      </c>
      <c r="F23" s="25">
        <v>4</v>
      </c>
      <c r="G23" s="25">
        <v>20</v>
      </c>
      <c r="H23" s="26">
        <v>84</v>
      </c>
      <c r="I23" s="73">
        <f>HLOOKUP($C23,'Параметры ПФ'!$F$7:$K$12,6,FALSE)</f>
        <v>56.64</v>
      </c>
      <c r="J23" s="73">
        <f t="shared" ref="J23" si="3">IF(H23=0,I23*F23*E23,IF(I23&gt;H23,H23*F23*E23,I23*F23*E23))</f>
        <v>3851.52</v>
      </c>
      <c r="K23" s="74">
        <f>IF(J23&lt;'Параметры ПФ'!J$3+0.01,'Стандартные программы'!J23,ROUNDDOWN('Параметры ПФ'!J$3/IF(H23=0,I23,IF(I23&gt;H23,H23,I23)),0)*IF(H23=0,I23,IF(I23&gt;H23,H23,I23)))</f>
        <v>3851.52</v>
      </c>
      <c r="L23" s="73">
        <f t="shared" ref="L23" si="4">K23*G23</f>
        <v>77030.399999999994</v>
      </c>
      <c r="M23" s="75">
        <f t="shared" ref="M23" si="5">IF(H23=0,I23*F23*E23,IF(I23&gt;H23,H23*F23*E23,I23*F23*E23))-K23</f>
        <v>0</v>
      </c>
    </row>
    <row r="24" spans="1:15" s="9" customFormat="1" ht="38.25">
      <c r="A24" s="84" t="s">
        <v>63</v>
      </c>
      <c r="B24" s="10" t="s">
        <v>73</v>
      </c>
      <c r="C24" s="10" t="s">
        <v>5</v>
      </c>
      <c r="D24" s="24">
        <v>39</v>
      </c>
      <c r="E24" s="24">
        <v>22</v>
      </c>
      <c r="F24" s="25">
        <v>3</v>
      </c>
      <c r="G24" s="25">
        <v>30</v>
      </c>
      <c r="H24" s="26">
        <v>84</v>
      </c>
      <c r="I24" s="73">
        <f>HLOOKUP($C24,'Параметры ПФ'!$F$7:$K$12,6,FALSE)</f>
        <v>56.64</v>
      </c>
      <c r="J24" s="73">
        <f t="shared" si="0"/>
        <v>3738.24</v>
      </c>
      <c r="K24" s="74">
        <f>IF(J24&lt;'Параметры ПФ'!J$3+0.01,'Стандартные программы'!J24,ROUNDDOWN('Параметры ПФ'!J$3/IF(H24=0,I24,IF(I24&gt;H24,H24,I24)),0)*IF(H24=0,I24,IF(I24&gt;H24,H24,I24)))</f>
        <v>3738.24</v>
      </c>
      <c r="L24" s="73">
        <f t="shared" si="1"/>
        <v>112147.2</v>
      </c>
      <c r="M24" s="75">
        <f t="shared" si="2"/>
        <v>0</v>
      </c>
      <c r="O24" s="33"/>
    </row>
    <row r="25" spans="1:15" ht="38.25">
      <c r="A25" s="84" t="s">
        <v>63</v>
      </c>
      <c r="B25" s="10" t="s">
        <v>73</v>
      </c>
      <c r="C25" s="10" t="s">
        <v>5</v>
      </c>
      <c r="D25" s="24">
        <v>39</v>
      </c>
      <c r="E25" s="24">
        <v>17</v>
      </c>
      <c r="F25" s="25">
        <v>3</v>
      </c>
      <c r="G25" s="25">
        <v>30</v>
      </c>
      <c r="H25" s="26">
        <v>84</v>
      </c>
      <c r="I25" s="73">
        <f>HLOOKUP($C25,'Параметры ПФ'!$F$7:$K$12,6,FALSE)</f>
        <v>56.64</v>
      </c>
      <c r="J25" s="73">
        <f>IF(H25=0,I25*F25*E25,IF(I25&gt;H25,H25*F25*E25,I25*F25*E25))</f>
        <v>2888.64</v>
      </c>
      <c r="K25" s="74">
        <f>IF(J25&lt;'Параметры ПФ'!J$3+0.01,'Стандартные программы'!J25,ROUNDDOWN('Параметры ПФ'!J$3/IF(H25=0,I25,IF(I25&gt;H25,H25,I25)),0)*IF(H25=0,I25,IF(I25&gt;H25,H25,I25)))</f>
        <v>2888.64</v>
      </c>
      <c r="L25" s="73">
        <f>K25*G25</f>
        <v>86659.199999999997</v>
      </c>
      <c r="M25" s="75">
        <f>IF(H25=0,I25*F25*E25,IF(I25&gt;H25,H25*F25*E25,I25*F25*E25))-K25</f>
        <v>0</v>
      </c>
    </row>
    <row r="26" spans="1:15" s="9" customFormat="1" ht="38.25">
      <c r="A26" s="84" t="s">
        <v>63</v>
      </c>
      <c r="B26" s="10" t="s">
        <v>74</v>
      </c>
      <c r="C26" s="10" t="s">
        <v>5</v>
      </c>
      <c r="D26" s="24">
        <v>39</v>
      </c>
      <c r="E26" s="24">
        <v>22</v>
      </c>
      <c r="F26" s="25">
        <v>3</v>
      </c>
      <c r="G26" s="25">
        <v>30</v>
      </c>
      <c r="H26" s="26">
        <v>84</v>
      </c>
      <c r="I26" s="73">
        <f>HLOOKUP($C26,'Параметры ПФ'!$F$7:$K$12,6,FALSE)</f>
        <v>56.64</v>
      </c>
      <c r="J26" s="73">
        <f t="shared" si="0"/>
        <v>3738.24</v>
      </c>
      <c r="K26" s="74">
        <f>IF(J26&lt;'Параметры ПФ'!J$3+0.01,'Стандартные программы'!J26,ROUNDDOWN('Параметры ПФ'!J$3/IF(H26=0,I26,IF(I26&gt;H26,H26,I26)),0)*IF(H26=0,I26,IF(I26&gt;H26,H26,I26)))</f>
        <v>3738.24</v>
      </c>
      <c r="L26" s="73">
        <f t="shared" si="1"/>
        <v>112147.2</v>
      </c>
      <c r="M26" s="75">
        <f t="shared" si="2"/>
        <v>0</v>
      </c>
      <c r="O26" s="33"/>
    </row>
    <row r="27" spans="1:15" ht="38.25">
      <c r="A27" s="84" t="s">
        <v>63</v>
      </c>
      <c r="B27" s="10" t="s">
        <v>74</v>
      </c>
      <c r="C27" s="10" t="s">
        <v>5</v>
      </c>
      <c r="D27" s="24">
        <v>39</v>
      </c>
      <c r="E27" s="24">
        <v>17</v>
      </c>
      <c r="F27" s="25">
        <v>3</v>
      </c>
      <c r="G27" s="25">
        <v>30</v>
      </c>
      <c r="H27" s="26">
        <v>84</v>
      </c>
      <c r="I27" s="73">
        <f>HLOOKUP($C27,'Параметры ПФ'!$F$7:$K$12,6,FALSE)</f>
        <v>56.64</v>
      </c>
      <c r="J27" s="73">
        <f>IF(H27=0,I27*F27*E27,IF(I27&gt;H27,H27*F27*E27,I27*F27*E27))</f>
        <v>2888.64</v>
      </c>
      <c r="K27" s="74">
        <f>IF(J27&lt;'Параметры ПФ'!J$3+0.01,'Стандартные программы'!J27,ROUNDDOWN('Параметры ПФ'!J$3/IF(H27=0,I27,IF(I27&gt;H27,H27,I27)),0)*IF(H27=0,I27,IF(I27&gt;H27,H27,I27)))</f>
        <v>2888.64</v>
      </c>
      <c r="L27" s="73">
        <f>K27*G27</f>
        <v>86659.199999999997</v>
      </c>
      <c r="M27" s="75">
        <f>IF(H27=0,I27*F27*E27,IF(I27&gt;H27,H27*F27*E27,I27*F27*E27))-K27</f>
        <v>0</v>
      </c>
    </row>
    <row r="28" spans="1:15" s="9" customFormat="1" ht="38.25">
      <c r="A28" s="84" t="s">
        <v>63</v>
      </c>
      <c r="B28" s="10" t="s">
        <v>75</v>
      </c>
      <c r="C28" s="10" t="s">
        <v>5</v>
      </c>
      <c r="D28" s="24">
        <v>39</v>
      </c>
      <c r="E28" s="24">
        <v>22</v>
      </c>
      <c r="F28" s="25">
        <v>3</v>
      </c>
      <c r="G28" s="25">
        <v>30</v>
      </c>
      <c r="H28" s="26">
        <v>84</v>
      </c>
      <c r="I28" s="73">
        <f>HLOOKUP($C28,'Параметры ПФ'!$F$7:$K$12,6,FALSE)</f>
        <v>56.64</v>
      </c>
      <c r="J28" s="73">
        <f t="shared" si="0"/>
        <v>3738.24</v>
      </c>
      <c r="K28" s="74">
        <f>IF(J28&lt;'Параметры ПФ'!J$3+0.01,'Стандартные программы'!J28,ROUNDDOWN('Параметры ПФ'!J$3/IF(H28=0,I28,IF(I28&gt;H28,H28,I28)),0)*IF(H28=0,I28,IF(I28&gt;H28,H28,I28)))</f>
        <v>3738.24</v>
      </c>
      <c r="L28" s="73">
        <f t="shared" si="1"/>
        <v>112147.2</v>
      </c>
      <c r="M28" s="75">
        <f t="shared" si="2"/>
        <v>0</v>
      </c>
      <c r="O28" s="33"/>
    </row>
    <row r="29" spans="1:15" ht="38.25">
      <c r="A29" s="84" t="s">
        <v>63</v>
      </c>
      <c r="B29" s="10" t="s">
        <v>75</v>
      </c>
      <c r="C29" s="10" t="s">
        <v>5</v>
      </c>
      <c r="D29" s="24">
        <v>39</v>
      </c>
      <c r="E29" s="24">
        <v>17</v>
      </c>
      <c r="F29" s="25">
        <v>3</v>
      </c>
      <c r="G29" s="25">
        <v>30</v>
      </c>
      <c r="H29" s="26">
        <v>84</v>
      </c>
      <c r="I29" s="73">
        <f>HLOOKUP($C29,'Параметры ПФ'!$F$7:$K$12,6,FALSE)</f>
        <v>56.64</v>
      </c>
      <c r="J29" s="73">
        <f>IF(H29=0,I29*F29*E29,IF(I29&gt;H29,H29*F29*E29,I29*F29*E29))</f>
        <v>2888.64</v>
      </c>
      <c r="K29" s="74">
        <f>IF(J29&lt;'Параметры ПФ'!J$3+0.01,'Стандартные программы'!J29,ROUNDDOWN('Параметры ПФ'!J$3/IF(H29=0,I29,IF(I29&gt;H29,H29,I29)),0)*IF(H29=0,I29,IF(I29&gt;H29,H29,I29)))</f>
        <v>2888.64</v>
      </c>
      <c r="L29" s="73">
        <f>K29*G29</f>
        <v>86659.199999999997</v>
      </c>
      <c r="M29" s="75">
        <f>IF(H29=0,I29*F29*E29,IF(I29&gt;H29,H29*F29*E29,I29*F29*E29))-K29</f>
        <v>0</v>
      </c>
    </row>
    <row r="30" spans="1:15" s="9" customFormat="1" ht="38.25">
      <c r="A30" s="84" t="s">
        <v>63</v>
      </c>
      <c r="B30" s="10" t="s">
        <v>76</v>
      </c>
      <c r="C30" s="10" t="s">
        <v>5</v>
      </c>
      <c r="D30" s="24">
        <v>39</v>
      </c>
      <c r="E30" s="24">
        <v>22</v>
      </c>
      <c r="F30" s="25">
        <v>3</v>
      </c>
      <c r="G30" s="25">
        <v>30</v>
      </c>
      <c r="H30" s="26">
        <v>84</v>
      </c>
      <c r="I30" s="73">
        <f>HLOOKUP($C30,'Параметры ПФ'!$F$7:$K$12,6,FALSE)</f>
        <v>56.64</v>
      </c>
      <c r="J30" s="73">
        <f t="shared" si="0"/>
        <v>3738.24</v>
      </c>
      <c r="K30" s="74">
        <f>IF(J30&lt;'Параметры ПФ'!J$3+0.01,'Стандартные программы'!J30,ROUNDDOWN('Параметры ПФ'!J$3/IF(H30=0,I30,IF(I30&gt;H30,H30,I30)),0)*IF(H30=0,I30,IF(I30&gt;H30,H30,I30)))</f>
        <v>3738.24</v>
      </c>
      <c r="L30" s="73">
        <f t="shared" si="1"/>
        <v>112147.2</v>
      </c>
      <c r="M30" s="75">
        <f t="shared" si="2"/>
        <v>0</v>
      </c>
      <c r="O30" s="33"/>
    </row>
    <row r="31" spans="1:15" ht="38.25">
      <c r="A31" s="84" t="s">
        <v>63</v>
      </c>
      <c r="B31" s="10" t="s">
        <v>76</v>
      </c>
      <c r="C31" s="10" t="s">
        <v>5</v>
      </c>
      <c r="D31" s="24">
        <v>39</v>
      </c>
      <c r="E31" s="24">
        <v>17</v>
      </c>
      <c r="F31" s="25">
        <v>3</v>
      </c>
      <c r="G31" s="25">
        <v>30</v>
      </c>
      <c r="H31" s="26">
        <v>84</v>
      </c>
      <c r="I31" s="73">
        <f>HLOOKUP($C31,'Параметры ПФ'!$F$7:$K$12,6,FALSE)</f>
        <v>56.64</v>
      </c>
      <c r="J31" s="73">
        <f>IF(H31=0,I31*F31*E31,IF(I31&gt;H31,H31*F31*E31,I31*F31*E31))</f>
        <v>2888.64</v>
      </c>
      <c r="K31" s="74">
        <f>IF(J31&lt;'Параметры ПФ'!J$3+0.01,'Стандартные программы'!J31,ROUNDDOWN('Параметры ПФ'!J$3/IF(H31=0,I31,IF(I31&gt;H31,H31,I31)),0)*IF(H31=0,I31,IF(I31&gt;H31,H31,I31)))</f>
        <v>2888.64</v>
      </c>
      <c r="L31" s="73">
        <f>K31*G31</f>
        <v>86659.199999999997</v>
      </c>
      <c r="M31" s="75">
        <f>IF(H31=0,I31*F31*E31,IF(I31&gt;H31,H31*F31*E31,I31*F31*E31))-K31</f>
        <v>0</v>
      </c>
    </row>
    <row r="32" spans="1:15" s="9" customFormat="1" ht="38.25">
      <c r="A32" s="84" t="s">
        <v>63</v>
      </c>
      <c r="B32" s="10" t="s">
        <v>79</v>
      </c>
      <c r="C32" s="10" t="s">
        <v>5</v>
      </c>
      <c r="D32" s="24">
        <v>30</v>
      </c>
      <c r="E32" s="24">
        <v>15</v>
      </c>
      <c r="F32" s="25">
        <v>3</v>
      </c>
      <c r="G32" s="25">
        <v>30</v>
      </c>
      <c r="H32" s="26">
        <v>84</v>
      </c>
      <c r="I32" s="73">
        <f>HLOOKUP($C32,'Параметры ПФ'!$F$7:$K$12,6,FALSE)</f>
        <v>56.64</v>
      </c>
      <c r="J32" s="73">
        <f t="shared" si="0"/>
        <v>2548.8000000000002</v>
      </c>
      <c r="K32" s="74">
        <f>IF(J32&lt;'Параметры ПФ'!J$3+0.01,'Стандартные программы'!J32,ROUNDDOWN('Параметры ПФ'!J$3/IF(H32=0,I32,IF(I32&gt;H32,H32,I32)),0)*IF(H32=0,I32,IF(I32&gt;H32,H32,I32)))</f>
        <v>2548.8000000000002</v>
      </c>
      <c r="L32" s="73">
        <f t="shared" si="1"/>
        <v>76464</v>
      </c>
      <c r="M32" s="75">
        <f t="shared" si="2"/>
        <v>0</v>
      </c>
      <c r="O32" s="33"/>
    </row>
    <row r="33" spans="1:15" ht="38.25">
      <c r="A33" s="84" t="s">
        <v>63</v>
      </c>
      <c r="B33" s="10" t="s">
        <v>80</v>
      </c>
      <c r="C33" s="10" t="s">
        <v>5</v>
      </c>
      <c r="D33" s="24">
        <v>30</v>
      </c>
      <c r="E33" s="24">
        <v>15</v>
      </c>
      <c r="F33" s="25">
        <v>2</v>
      </c>
      <c r="G33" s="25">
        <v>30</v>
      </c>
      <c r="H33" s="26">
        <v>84</v>
      </c>
      <c r="I33" s="73">
        <f>HLOOKUP($C33,'Параметры ПФ'!$F$7:$K$12,6,FALSE)</f>
        <v>56.64</v>
      </c>
      <c r="J33" s="73">
        <f>IF(H33=0,I33*F33*E33,IF(I33&gt;H33,H33*F33*E33,I33*F33*E33))</f>
        <v>1699.2</v>
      </c>
      <c r="K33" s="74">
        <f>IF(J33&lt;'Параметры ПФ'!J$3+0.01,'Стандартные программы'!J33,ROUNDDOWN('Параметры ПФ'!J$3/IF(H33=0,I33,IF(I33&gt;H33,H33,I33)),0)*IF(H33=0,I33,IF(I33&gt;H33,H33,I33)))</f>
        <v>1699.2</v>
      </c>
      <c r="L33" s="73">
        <f>K33*G33</f>
        <v>50976</v>
      </c>
      <c r="M33" s="75">
        <f>IF(H33=0,I33*F33*E33,IF(I33&gt;H33,H33*F33*E33,I33*F33*E33))-K33</f>
        <v>0</v>
      </c>
    </row>
    <row r="34" spans="1:15" s="9" customFormat="1" ht="38.25">
      <c r="A34" s="84" t="s">
        <v>63</v>
      </c>
      <c r="B34" s="10" t="s">
        <v>79</v>
      </c>
      <c r="C34" s="10" t="s">
        <v>5</v>
      </c>
      <c r="D34" s="24">
        <v>30</v>
      </c>
      <c r="E34" s="24">
        <v>15</v>
      </c>
      <c r="F34" s="25">
        <v>3</v>
      </c>
      <c r="G34" s="25">
        <v>24</v>
      </c>
      <c r="H34" s="26">
        <v>84</v>
      </c>
      <c r="I34" s="73">
        <f>HLOOKUP($C34,'Параметры ПФ'!$F$7:$K$12,6,FALSE)</f>
        <v>56.64</v>
      </c>
      <c r="J34" s="73">
        <f t="shared" si="0"/>
        <v>2548.8000000000002</v>
      </c>
      <c r="K34" s="74">
        <f>IF(J34&lt;'Параметры ПФ'!J$3+0.01,'Стандартные программы'!J34,ROUNDDOWN('Параметры ПФ'!J$3/IF(H34=0,I34,IF(I34&gt;H34,H34,I34)),0)*IF(H34=0,I34,IF(I34&gt;H34,H34,I34)))</f>
        <v>2548.8000000000002</v>
      </c>
      <c r="L34" s="73">
        <f t="shared" si="1"/>
        <v>61171.199999999997</v>
      </c>
      <c r="M34" s="75">
        <f t="shared" si="2"/>
        <v>0</v>
      </c>
      <c r="O34" s="33"/>
    </row>
    <row r="35" spans="1:15" ht="38.25">
      <c r="A35" s="84" t="s">
        <v>63</v>
      </c>
      <c r="B35" s="10" t="s">
        <v>80</v>
      </c>
      <c r="C35" s="10" t="s">
        <v>5</v>
      </c>
      <c r="D35" s="24">
        <v>30</v>
      </c>
      <c r="E35" s="24">
        <v>15</v>
      </c>
      <c r="F35" s="25">
        <v>2</v>
      </c>
      <c r="G35" s="25">
        <v>24</v>
      </c>
      <c r="H35" s="26">
        <v>84</v>
      </c>
      <c r="I35" s="73">
        <f>HLOOKUP($C35,'Параметры ПФ'!$F$7:$K$12,6,FALSE)</f>
        <v>56.64</v>
      </c>
      <c r="J35" s="73">
        <f>IF(H35=0,I35*F35*E35,IF(I35&gt;H35,H35*F35*E35,I35*F35*E35))</f>
        <v>1699.2</v>
      </c>
      <c r="K35" s="74">
        <f>IF(J35&lt;'Параметры ПФ'!J$3+0.01,'Стандартные программы'!J35,ROUNDDOWN('Параметры ПФ'!J$3/IF(H35=0,I35,IF(I35&gt;H35,H35,I35)),0)*IF(H35=0,I35,IF(I35&gt;H35,H35,I35)))</f>
        <v>1699.2</v>
      </c>
      <c r="L35" s="73">
        <f>K35*G35</f>
        <v>40780.800000000003</v>
      </c>
      <c r="M35" s="75">
        <f>IF(H35=0,I35*F35*E35,IF(I35&gt;H35,H35*F35*E35,I35*F35*E35))-K35</f>
        <v>0</v>
      </c>
    </row>
    <row r="36" spans="1:15">
      <c r="A36" s="104"/>
      <c r="B36" s="104"/>
      <c r="C36" s="104"/>
      <c r="D36" s="104"/>
      <c r="E36" s="104"/>
      <c r="F36" s="104"/>
      <c r="G36" s="11">
        <f>SUM(G2:G35)</f>
        <v>1036</v>
      </c>
      <c r="H36" s="12" t="s">
        <v>28</v>
      </c>
      <c r="I36" s="76" t="s">
        <v>28</v>
      </c>
      <c r="J36" s="77" t="s">
        <v>28</v>
      </c>
      <c r="K36" s="76" t="s">
        <v>28</v>
      </c>
      <c r="L36" s="78">
        <f>SUM(L3:L35)</f>
        <v>2812176</v>
      </c>
      <c r="M36" s="79" t="s">
        <v>28</v>
      </c>
    </row>
    <row r="37" spans="1:15">
      <c r="G37" s="23"/>
      <c r="I37" s="105"/>
      <c r="J37" s="105"/>
      <c r="K37" s="105"/>
      <c r="L37" s="32"/>
    </row>
    <row r="38" spans="1:15">
      <c r="J38" s="106"/>
      <c r="K38" s="106"/>
      <c r="L38" s="29"/>
    </row>
  </sheetData>
  <autoFilter ref="A1:M38"/>
  <mergeCells count="3">
    <mergeCell ref="A36:F36"/>
    <mergeCell ref="I37:K37"/>
    <mergeCell ref="J38:K3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greaterThan" id="{7F9B028B-6BC4-484A-915D-E8B2B5908506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M3:M35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workbookViewId="0">
      <selection activeCell="G37" sqref="G37"/>
    </sheetView>
  </sheetViews>
  <sheetFormatPr defaultRowHeight="15.75"/>
  <cols>
    <col min="1" max="1" width="18.875" customWidth="1"/>
    <col min="2" max="2" width="36" customWidth="1"/>
    <col min="3" max="3" width="26.625" customWidth="1"/>
    <col min="4" max="5" width="11.25" customWidth="1"/>
    <col min="6" max="6" width="10.625" customWidth="1"/>
    <col min="8" max="9" width="10.125" customWidth="1"/>
    <col min="10" max="11" width="14.25" customWidth="1"/>
    <col min="12" max="12" width="14.625" customWidth="1"/>
    <col min="13" max="13" width="15.625" customWidth="1"/>
  </cols>
  <sheetData>
    <row r="1" spans="1:13" ht="96" customHeight="1">
      <c r="A1" s="19" t="s">
        <v>24</v>
      </c>
      <c r="B1" s="19" t="s">
        <v>25</v>
      </c>
      <c r="C1" s="19" t="s">
        <v>7</v>
      </c>
      <c r="D1" s="20" t="s">
        <v>6</v>
      </c>
      <c r="E1" s="20" t="s">
        <v>42</v>
      </c>
      <c r="F1" s="20" t="s">
        <v>29</v>
      </c>
      <c r="G1" s="20" t="s">
        <v>26</v>
      </c>
      <c r="H1" s="21" t="s">
        <v>30</v>
      </c>
      <c r="I1" s="22" t="s">
        <v>27</v>
      </c>
      <c r="J1" s="22" t="s">
        <v>43</v>
      </c>
      <c r="K1" s="37" t="s">
        <v>44</v>
      </c>
      <c r="L1" s="22" t="s">
        <v>34</v>
      </c>
      <c r="M1" s="35" t="s">
        <v>45</v>
      </c>
    </row>
    <row r="2" spans="1:13">
      <c r="A2" s="10"/>
      <c r="B2" s="10"/>
      <c r="C2" s="10" t="s">
        <v>5</v>
      </c>
      <c r="D2" s="24"/>
      <c r="E2" s="24"/>
      <c r="F2" s="25"/>
      <c r="G2" s="25"/>
      <c r="H2" s="26"/>
      <c r="I2" s="73">
        <f>HLOOKUP($C2,'Параметры ПФ'!$F$7:$K$12,6,FALSE)*'Параметры ПФ'!$G$23</f>
        <v>56.64</v>
      </c>
      <c r="J2" s="73">
        <f>IF(H2=0,I2*F2*E2,IF(I2&gt;H2,H2*F2*E2,I2*F2*E2))</f>
        <v>0</v>
      </c>
      <c r="K2" s="74">
        <f>IF(J2&lt;'Параметры ПФ'!$J$3+0.01,'Дистанционные программы'!J2,ROUNDDOWN('Параметры ПФ'!$J$3/IF(H2=0,I2,IF(I2&gt;H2,H2,I2)),0)*IF(H2=0,I2,IF(I2&gt;H2,H2,I2)))</f>
        <v>0</v>
      </c>
      <c r="L2" s="73">
        <f>K2*G2</f>
        <v>0</v>
      </c>
      <c r="M2" s="75">
        <f>IF(H2=0,I2*F2*E2,IF(I2&gt;H2,H2*F2*E2,I2*F2*E2))-K2</f>
        <v>0</v>
      </c>
    </row>
    <row r="3" spans="1:13">
      <c r="A3" s="10"/>
      <c r="B3" s="10"/>
      <c r="C3" s="10" t="s">
        <v>5</v>
      </c>
      <c r="D3" s="24"/>
      <c r="E3" s="24"/>
      <c r="F3" s="25"/>
      <c r="G3" s="25"/>
      <c r="H3" s="26"/>
      <c r="I3" s="73">
        <f>HLOOKUP($C3,'Параметры ПФ'!$F$7:$K$12,6,FALSE)*'Параметры ПФ'!$G$23</f>
        <v>56.64</v>
      </c>
      <c r="J3" s="73">
        <f>IF(H3=0,I3*F3*E3,IF(I3&gt;H3,H3*F3*E3,I3*F3*E3))</f>
        <v>0</v>
      </c>
      <c r="K3" s="74">
        <f>IF(J3&lt;'Параметры ПФ'!$J$3+0.01,'Дистанционные программы'!J3,ROUNDDOWN('Параметры ПФ'!$J$3/IF(H3=0,I3,IF(I3&gt;H3,H3,I3)),0)*IF(H3=0,I3,IF(I3&gt;H3,H3,I3)))</f>
        <v>0</v>
      </c>
      <c r="L3" s="73">
        <f t="shared" ref="L3:L8" si="0">K3*G3</f>
        <v>0</v>
      </c>
      <c r="M3" s="75">
        <f>IF(H3=0,I3*F3*E3,IF(I3&gt;H3,H3*F3*E3,I3*F3*E3))-K3</f>
        <v>0</v>
      </c>
    </row>
    <row r="4" spans="1:13">
      <c r="A4" s="10"/>
      <c r="B4" s="10"/>
      <c r="C4" s="10" t="s">
        <v>5</v>
      </c>
      <c r="D4" s="24"/>
      <c r="E4" s="24"/>
      <c r="F4" s="25"/>
      <c r="G4" s="25"/>
      <c r="H4" s="26"/>
      <c r="I4" s="73">
        <f>HLOOKUP($C4,'Параметры ПФ'!$F$7:'Параметры ПФ'!$K$12,6,FALSE)*'Параметры ПФ'!$G$23</f>
        <v>56.64</v>
      </c>
      <c r="J4" s="73">
        <f>IF(H4=0,I4*F4*E4,IF(I4&gt;H4,H4*F4*E4,I4*F4*E4))</f>
        <v>0</v>
      </c>
      <c r="K4" s="74">
        <f>IF(J4&lt;'Параметры ПФ'!$J$3+0.01,'Дистанционные программы'!J4,ROUNDDOWN('Параметры ПФ'!$J$3/IF(H4=0,I4,IF(I4&gt;H4,H4,I4)),0)*IF(H4=0,I4,IF(I4&gt;H4,H4,I4)))</f>
        <v>0</v>
      </c>
      <c r="L4" s="73">
        <f t="shared" si="0"/>
        <v>0</v>
      </c>
      <c r="M4" s="75">
        <f>IF(H4=0,I4*F4*E4,IF(I4&gt;H4,H4*F4*E4,I4*F4*E4))-K4</f>
        <v>0</v>
      </c>
    </row>
    <row r="5" spans="1:13">
      <c r="A5" s="10"/>
      <c r="B5" s="10"/>
      <c r="C5" s="10" t="s">
        <v>5</v>
      </c>
      <c r="D5" s="24"/>
      <c r="E5" s="24"/>
      <c r="F5" s="25"/>
      <c r="G5" s="25"/>
      <c r="H5" s="26"/>
      <c r="I5" s="73">
        <f>HLOOKUP($C5,'Параметры ПФ'!$F$7:$K$12,6,FALSE)*'Параметры ПФ'!$G$23</f>
        <v>56.64</v>
      </c>
      <c r="J5" s="73">
        <f t="shared" ref="J5:J8" si="1">IF(H5=0,I5*F5*E5,IF(I5&gt;H5,H5*F5*E5,I5*F5*E5))</f>
        <v>0</v>
      </c>
      <c r="K5" s="74">
        <f>IF(J5&lt;'Параметры ПФ'!$J$3+0.01,'Дистанционные программы'!J5,ROUNDDOWN('Параметры ПФ'!$J$3/IF(H5=0,I5,IF(I5&gt;H5,H5,I5)),0)*IF(H5=0,I5,IF(I5&gt;H5,H5,I5)))</f>
        <v>0</v>
      </c>
      <c r="L5" s="73">
        <f t="shared" si="0"/>
        <v>0</v>
      </c>
      <c r="M5" s="75">
        <f t="shared" ref="M5:M8" si="2">IF(H5=0,I5*F5*E5,IF(I5&gt;H5,H5*F5*E5,I5*F5*E5))-K5</f>
        <v>0</v>
      </c>
    </row>
    <row r="6" spans="1:13">
      <c r="A6" s="10"/>
      <c r="B6" s="10"/>
      <c r="C6" s="10" t="s">
        <v>5</v>
      </c>
      <c r="D6" s="24"/>
      <c r="E6" s="24"/>
      <c r="F6" s="25"/>
      <c r="G6" s="25"/>
      <c r="H6" s="26"/>
      <c r="I6" s="73">
        <f>HLOOKUP($C6,'Параметры ПФ'!$F$7:$K$12,6,FALSE)*'Параметры ПФ'!$G$23</f>
        <v>56.64</v>
      </c>
      <c r="J6" s="73">
        <f t="shared" si="1"/>
        <v>0</v>
      </c>
      <c r="K6" s="74">
        <f>IF(J6&lt;'Параметры ПФ'!$J$3+0.01,'Дистанционные программы'!J6,ROUNDDOWN('Параметры ПФ'!$J$3/IF(H6=0,I6,IF(I6&gt;H6,H6,I6)),0)*IF(H6=0,I6,IF(I6&gt;H6,H6,I6)))</f>
        <v>0</v>
      </c>
      <c r="L6" s="73">
        <f t="shared" si="0"/>
        <v>0</v>
      </c>
      <c r="M6" s="75">
        <f t="shared" si="2"/>
        <v>0</v>
      </c>
    </row>
    <row r="7" spans="1:13">
      <c r="A7" s="10"/>
      <c r="B7" s="10"/>
      <c r="C7" s="10" t="s">
        <v>5</v>
      </c>
      <c r="D7" s="24"/>
      <c r="E7" s="24"/>
      <c r="F7" s="25"/>
      <c r="G7" s="25"/>
      <c r="H7" s="26"/>
      <c r="I7" s="73">
        <f>HLOOKUP($C7,'Параметры ПФ'!$F$7:$K$12,6,FALSE)*'Параметры ПФ'!$G$23</f>
        <v>56.64</v>
      </c>
      <c r="J7" s="73">
        <f t="shared" si="1"/>
        <v>0</v>
      </c>
      <c r="K7" s="74">
        <f>IF(J7&lt;'Параметры ПФ'!$J$3+0.01,'Дистанционные программы'!J7,ROUNDDOWN('Параметры ПФ'!$J$3/IF(H7=0,I7,IF(I7&gt;H7,H7,I7)),0)*IF(H7=0,I7,IF(I7&gt;H7,H7,I7)))</f>
        <v>0</v>
      </c>
      <c r="L7" s="73">
        <f t="shared" si="0"/>
        <v>0</v>
      </c>
      <c r="M7" s="75">
        <f t="shared" si="2"/>
        <v>0</v>
      </c>
    </row>
    <row r="8" spans="1:13">
      <c r="A8" s="10"/>
      <c r="B8" s="10"/>
      <c r="C8" s="10" t="s">
        <v>5</v>
      </c>
      <c r="D8" s="24"/>
      <c r="E8" s="24"/>
      <c r="F8" s="25"/>
      <c r="G8" s="25"/>
      <c r="H8" s="26"/>
      <c r="I8" s="73">
        <f>HLOOKUP($C8,'Параметры ПФ'!$F$7:$K$12,6,FALSE)*'Параметры ПФ'!$G$23</f>
        <v>56.64</v>
      </c>
      <c r="J8" s="73">
        <f t="shared" si="1"/>
        <v>0</v>
      </c>
      <c r="K8" s="74">
        <f>IF(J8&lt;'Параметры ПФ'!$J$3+0.01,'Дистанционные программы'!J8,ROUNDDOWN('Параметры ПФ'!$J$3/IF(H8=0,I8,IF(I8&gt;H8,H8,I8)),0)*IF(H8=0,I8,IF(I8&gt;H8,H8,I8)))</f>
        <v>0</v>
      </c>
      <c r="L8" s="73">
        <f t="shared" si="0"/>
        <v>0</v>
      </c>
      <c r="M8" s="75">
        <f t="shared" si="2"/>
        <v>0</v>
      </c>
    </row>
    <row r="9" spans="1:13">
      <c r="A9" s="10"/>
      <c r="B9" s="10"/>
      <c r="C9" s="10" t="s">
        <v>5</v>
      </c>
      <c r="D9" s="24"/>
      <c r="E9" s="24"/>
      <c r="F9" s="25"/>
      <c r="G9" s="25"/>
      <c r="H9" s="26"/>
      <c r="I9" s="73">
        <f>HLOOKUP($C9,'Параметры ПФ'!$F$7:$K$12,6,FALSE)*'Параметры ПФ'!$G$23</f>
        <v>56.64</v>
      </c>
      <c r="J9" s="73">
        <f t="shared" ref="J9:J38" si="3">IF(H9=0,I9*F9*E9,IF(I9&gt;H9,H9*F9*E9,I9*F9*E9))</f>
        <v>0</v>
      </c>
      <c r="K9" s="74">
        <f>IF(J9&lt;'Параметры ПФ'!$J$3+0.01,'Дистанционные программы'!J9,ROUNDDOWN('Параметры ПФ'!$J$3/IF(H9=0,I9,IF(I9&gt;H9,H9,I9)),0)*IF(H9=0,I9,IF(I9&gt;H9,H9,I9)))</f>
        <v>0</v>
      </c>
      <c r="L9" s="73">
        <f t="shared" ref="L9:L38" si="4">K9*G9</f>
        <v>0</v>
      </c>
      <c r="M9" s="75">
        <f t="shared" ref="M9:M38" si="5">IF(H9=0,I9*F9*E9,IF(I9&gt;H9,H9*F9*E9,I9*F9*E9))-K9</f>
        <v>0</v>
      </c>
    </row>
    <row r="10" spans="1:13">
      <c r="A10" s="10"/>
      <c r="B10" s="10"/>
      <c r="C10" s="10" t="s">
        <v>5</v>
      </c>
      <c r="D10" s="24"/>
      <c r="E10" s="24"/>
      <c r="F10" s="25"/>
      <c r="G10" s="25"/>
      <c r="H10" s="26"/>
      <c r="I10" s="73">
        <f>HLOOKUP($C10,'Параметры ПФ'!$F$7:$K$12,6,FALSE)*'Параметры ПФ'!$G$23</f>
        <v>56.64</v>
      </c>
      <c r="J10" s="73">
        <f t="shared" si="3"/>
        <v>0</v>
      </c>
      <c r="K10" s="74">
        <f>IF(J10&lt;'Параметры ПФ'!$J$3+0.01,'Дистанционные программы'!J10,ROUNDDOWN('Параметры ПФ'!$J$3/IF(H10=0,I10,IF(I10&gt;H10,H10,I10)),0)*IF(H10=0,I10,IF(I10&gt;H10,H10,I10)))</f>
        <v>0</v>
      </c>
      <c r="L10" s="73">
        <f t="shared" si="4"/>
        <v>0</v>
      </c>
      <c r="M10" s="75">
        <f t="shared" si="5"/>
        <v>0</v>
      </c>
    </row>
    <row r="11" spans="1:13">
      <c r="A11" s="10"/>
      <c r="B11" s="10"/>
      <c r="C11" s="10" t="s">
        <v>5</v>
      </c>
      <c r="D11" s="24"/>
      <c r="E11" s="24"/>
      <c r="F11" s="25"/>
      <c r="G11" s="25"/>
      <c r="H11" s="26"/>
      <c r="I11" s="73">
        <f>HLOOKUP($C11,'Параметры ПФ'!$F$7:$K$12,6,FALSE)*'Параметры ПФ'!$G$23</f>
        <v>56.64</v>
      </c>
      <c r="J11" s="73">
        <f t="shared" si="3"/>
        <v>0</v>
      </c>
      <c r="K11" s="74">
        <f>IF(J11&lt;'Параметры ПФ'!$P$11+0.01,'Дистанционные программы'!J11,ROUNDDOWN('Параметры ПФ'!$J$3/IF(H11=0,I11,IF(I11&gt;H11,H11,I11)),0)*IF(H11=0,I11,IF(I11&gt;H11,H11,I11)))</f>
        <v>0</v>
      </c>
      <c r="L11" s="73">
        <f t="shared" si="4"/>
        <v>0</v>
      </c>
      <c r="M11" s="75">
        <f t="shared" si="5"/>
        <v>0</v>
      </c>
    </row>
    <row r="12" spans="1:13">
      <c r="A12" s="10"/>
      <c r="B12" s="10"/>
      <c r="C12" s="10" t="s">
        <v>5</v>
      </c>
      <c r="D12" s="24"/>
      <c r="E12" s="24"/>
      <c r="F12" s="25"/>
      <c r="G12" s="25"/>
      <c r="H12" s="26"/>
      <c r="I12" s="73">
        <f>HLOOKUP($C12,'Параметры ПФ'!$F$7:$K$12,6,FALSE)*'Параметры ПФ'!$G$23</f>
        <v>56.64</v>
      </c>
      <c r="J12" s="73">
        <f t="shared" si="3"/>
        <v>0</v>
      </c>
      <c r="K12" s="74">
        <f>IF(J12&lt;'Параметры ПФ'!$P$11+0.01,'Дистанционные программы'!J12,ROUNDDOWN('Параметры ПФ'!$J$3/IF(H12=0,I12,IF(I12&gt;H12,H12,I12)),0)*IF(H12=0,I12,IF(I12&gt;H12,H12,I12)))</f>
        <v>0</v>
      </c>
      <c r="L12" s="73">
        <f t="shared" si="4"/>
        <v>0</v>
      </c>
      <c r="M12" s="75">
        <f t="shared" si="5"/>
        <v>0</v>
      </c>
    </row>
    <row r="13" spans="1:13">
      <c r="A13" s="10"/>
      <c r="B13" s="10"/>
      <c r="C13" s="10" t="s">
        <v>5</v>
      </c>
      <c r="D13" s="24"/>
      <c r="E13" s="24"/>
      <c r="F13" s="25"/>
      <c r="G13" s="25"/>
      <c r="H13" s="26"/>
      <c r="I13" s="73">
        <f>HLOOKUP($C13,'Параметры ПФ'!$F$7:$K$12,6,FALSE)*'Параметры ПФ'!$G$23</f>
        <v>56.64</v>
      </c>
      <c r="J13" s="73">
        <f t="shared" si="3"/>
        <v>0</v>
      </c>
      <c r="K13" s="74">
        <f>IF(J13&lt;'Параметры ПФ'!$P$11+0.01,'Дистанционные программы'!J13,ROUNDDOWN('Параметры ПФ'!$J$3/IF(H13=0,I13,IF(I13&gt;H13,H13,I13)),0)*IF(H13=0,I13,IF(I13&gt;H13,H13,I13)))</f>
        <v>0</v>
      </c>
      <c r="L13" s="73">
        <f t="shared" si="4"/>
        <v>0</v>
      </c>
      <c r="M13" s="75">
        <f t="shared" si="5"/>
        <v>0</v>
      </c>
    </row>
    <row r="14" spans="1:13">
      <c r="A14" s="10"/>
      <c r="B14" s="10"/>
      <c r="C14" s="10" t="s">
        <v>5</v>
      </c>
      <c r="D14" s="24"/>
      <c r="E14" s="24"/>
      <c r="F14" s="25"/>
      <c r="G14" s="25"/>
      <c r="H14" s="26"/>
      <c r="I14" s="73">
        <f>HLOOKUP($C14,'Параметры ПФ'!$F$7:$K$12,6,FALSE)*'Параметры ПФ'!$G$23</f>
        <v>56.64</v>
      </c>
      <c r="J14" s="73">
        <f t="shared" si="3"/>
        <v>0</v>
      </c>
      <c r="K14" s="74">
        <f>IF(J14&lt;'Параметры ПФ'!$P$11+0.01,'Дистанционные программы'!J14,ROUNDDOWN('Параметры ПФ'!$J$3/IF(H14=0,I14,IF(I14&gt;H14,H14,I14)),0)*IF(H14=0,I14,IF(I14&gt;H14,H14,I14)))</f>
        <v>0</v>
      </c>
      <c r="L14" s="73">
        <f t="shared" si="4"/>
        <v>0</v>
      </c>
      <c r="M14" s="75">
        <f t="shared" si="5"/>
        <v>0</v>
      </c>
    </row>
    <row r="15" spans="1:13">
      <c r="A15" s="10"/>
      <c r="B15" s="10"/>
      <c r="C15" s="10" t="s">
        <v>5</v>
      </c>
      <c r="D15" s="24"/>
      <c r="E15" s="24"/>
      <c r="F15" s="25"/>
      <c r="G15" s="25"/>
      <c r="H15" s="26"/>
      <c r="I15" s="73">
        <f>HLOOKUP($C15,'Параметры ПФ'!$F$7:$K$12,6,FALSE)*'Параметры ПФ'!$G$23</f>
        <v>56.64</v>
      </c>
      <c r="J15" s="73">
        <f t="shared" si="3"/>
        <v>0</v>
      </c>
      <c r="K15" s="74">
        <f>IF(J15&lt;'Параметры ПФ'!$P$11+0.01,'Дистанционные программы'!J15,ROUNDDOWN('Параметры ПФ'!$J$3/IF(H15=0,I15,IF(I15&gt;H15,H15,I15)),0)*IF(H15=0,I15,IF(I15&gt;H15,H15,I15)))</f>
        <v>0</v>
      </c>
      <c r="L15" s="73">
        <f t="shared" si="4"/>
        <v>0</v>
      </c>
      <c r="M15" s="75">
        <f t="shared" si="5"/>
        <v>0</v>
      </c>
    </row>
    <row r="16" spans="1:13">
      <c r="A16" s="10"/>
      <c r="B16" s="10"/>
      <c r="C16" s="10" t="s">
        <v>5</v>
      </c>
      <c r="D16" s="24"/>
      <c r="E16" s="24"/>
      <c r="F16" s="25"/>
      <c r="G16" s="25"/>
      <c r="H16" s="26"/>
      <c r="I16" s="73">
        <f>HLOOKUP($C16,'Параметры ПФ'!$F$7:$K$12,6,FALSE)*'Параметры ПФ'!$G$23</f>
        <v>56.64</v>
      </c>
      <c r="J16" s="73">
        <f t="shared" si="3"/>
        <v>0</v>
      </c>
      <c r="K16" s="74">
        <f>IF(J16&lt;'Параметры ПФ'!$P$11+0.01,'Дистанционные программы'!J16,ROUNDDOWN('Параметры ПФ'!$J$3/IF(H16=0,I16,IF(I16&gt;H16,H16,I16)),0)*IF(H16=0,I16,IF(I16&gt;H16,H16,I16)))</f>
        <v>0</v>
      </c>
      <c r="L16" s="73">
        <f t="shared" si="4"/>
        <v>0</v>
      </c>
      <c r="M16" s="75">
        <f t="shared" si="5"/>
        <v>0</v>
      </c>
    </row>
    <row r="17" spans="1:13">
      <c r="A17" s="10"/>
      <c r="B17" s="10"/>
      <c r="C17" s="10" t="s">
        <v>5</v>
      </c>
      <c r="D17" s="24"/>
      <c r="E17" s="24"/>
      <c r="F17" s="25"/>
      <c r="G17" s="25"/>
      <c r="H17" s="26"/>
      <c r="I17" s="73">
        <f>HLOOKUP($C17,'Параметры ПФ'!$F$7:$K$12,6,FALSE)*'Параметры ПФ'!$G$23</f>
        <v>56.64</v>
      </c>
      <c r="J17" s="73">
        <f t="shared" si="3"/>
        <v>0</v>
      </c>
      <c r="K17" s="74">
        <f>IF(J17&lt;'Параметры ПФ'!$P$11+0.01,'Дистанционные программы'!J17,ROUNDDOWN('Параметры ПФ'!$J$3/IF(H17=0,I17,IF(I17&gt;H17,H17,I17)),0)*IF(H17=0,I17,IF(I17&gt;H17,H17,I17)))</f>
        <v>0</v>
      </c>
      <c r="L17" s="73">
        <f t="shared" si="4"/>
        <v>0</v>
      </c>
      <c r="M17" s="75">
        <f t="shared" si="5"/>
        <v>0</v>
      </c>
    </row>
    <row r="18" spans="1:13">
      <c r="A18" s="10"/>
      <c r="B18" s="10"/>
      <c r="C18" s="10" t="s">
        <v>5</v>
      </c>
      <c r="D18" s="24"/>
      <c r="E18" s="24"/>
      <c r="F18" s="25"/>
      <c r="G18" s="25"/>
      <c r="H18" s="26"/>
      <c r="I18" s="73">
        <f>HLOOKUP($C18,'Параметры ПФ'!$F$7:$K$12,6,FALSE)*'Параметры ПФ'!$G$23</f>
        <v>56.64</v>
      </c>
      <c r="J18" s="73">
        <f t="shared" si="3"/>
        <v>0</v>
      </c>
      <c r="K18" s="74">
        <f>IF(J18&lt;'Параметры ПФ'!$P$11+0.01,'Дистанционные программы'!J18,ROUNDDOWN('Параметры ПФ'!$J$3/IF(H18=0,I18,IF(I18&gt;H18,H18,I18)),0)*IF(H18=0,I18,IF(I18&gt;H18,H18,I18)))</f>
        <v>0</v>
      </c>
      <c r="L18" s="73">
        <f t="shared" si="4"/>
        <v>0</v>
      </c>
      <c r="M18" s="75">
        <f t="shared" si="5"/>
        <v>0</v>
      </c>
    </row>
    <row r="19" spans="1:13">
      <c r="A19" s="10"/>
      <c r="B19" s="10"/>
      <c r="C19" s="10" t="s">
        <v>5</v>
      </c>
      <c r="D19" s="24"/>
      <c r="E19" s="24"/>
      <c r="F19" s="25"/>
      <c r="G19" s="25"/>
      <c r="H19" s="26"/>
      <c r="I19" s="73">
        <f>HLOOKUP($C19,'Параметры ПФ'!$F$7:$K$12,6,FALSE)*'Параметры ПФ'!$G$23</f>
        <v>56.64</v>
      </c>
      <c r="J19" s="73">
        <f t="shared" si="3"/>
        <v>0</v>
      </c>
      <c r="K19" s="74">
        <f>IF(J19&lt;'Параметры ПФ'!$P$11+0.01,'Дистанционные программы'!J19,ROUNDDOWN('Параметры ПФ'!$J$3/IF(H19=0,I19,IF(I19&gt;H19,H19,I19)),0)*IF(H19=0,I19,IF(I19&gt;H19,H19,I19)))</f>
        <v>0</v>
      </c>
      <c r="L19" s="73">
        <f t="shared" si="4"/>
        <v>0</v>
      </c>
      <c r="M19" s="75">
        <f t="shared" si="5"/>
        <v>0</v>
      </c>
    </row>
    <row r="20" spans="1:13">
      <c r="A20" s="10"/>
      <c r="B20" s="10"/>
      <c r="C20" s="10" t="s">
        <v>5</v>
      </c>
      <c r="D20" s="24"/>
      <c r="E20" s="24"/>
      <c r="F20" s="25"/>
      <c r="G20" s="25"/>
      <c r="H20" s="26"/>
      <c r="I20" s="73">
        <f>HLOOKUP($C20,'Параметры ПФ'!$F$7:$K$12,6,FALSE)*'Параметры ПФ'!$G$23</f>
        <v>56.64</v>
      </c>
      <c r="J20" s="73">
        <f t="shared" si="3"/>
        <v>0</v>
      </c>
      <c r="K20" s="74">
        <f>IF(J20&lt;'Параметры ПФ'!$P$11+0.01,'Дистанционные программы'!J20,ROUNDDOWN('Параметры ПФ'!$J$3/IF(H20=0,I20,IF(I20&gt;H20,H20,I20)),0)*IF(H20=0,I20,IF(I20&gt;H20,H20,I20)))</f>
        <v>0</v>
      </c>
      <c r="L20" s="73">
        <f t="shared" si="4"/>
        <v>0</v>
      </c>
      <c r="M20" s="75">
        <f t="shared" si="5"/>
        <v>0</v>
      </c>
    </row>
    <row r="21" spans="1:13">
      <c r="A21" s="10"/>
      <c r="B21" s="10"/>
      <c r="C21" s="10" t="s">
        <v>5</v>
      </c>
      <c r="D21" s="24"/>
      <c r="E21" s="24"/>
      <c r="F21" s="25"/>
      <c r="G21" s="25"/>
      <c r="H21" s="26"/>
      <c r="I21" s="73">
        <f>HLOOKUP($C21,'Параметры ПФ'!$F$7:$K$12,6,FALSE)*'Параметры ПФ'!$G$23</f>
        <v>56.64</v>
      </c>
      <c r="J21" s="73">
        <f t="shared" si="3"/>
        <v>0</v>
      </c>
      <c r="K21" s="74">
        <f>IF(J21&lt;'Параметры ПФ'!$P$11+0.01,'Дистанционные программы'!J21,ROUNDDOWN('Параметры ПФ'!$J$3/IF(H21=0,I21,IF(I21&gt;H21,H21,I21)),0)*IF(H21=0,I21,IF(I21&gt;H21,H21,I21)))</f>
        <v>0</v>
      </c>
      <c r="L21" s="73">
        <f t="shared" si="4"/>
        <v>0</v>
      </c>
      <c r="M21" s="75">
        <f t="shared" si="5"/>
        <v>0</v>
      </c>
    </row>
    <row r="22" spans="1:13">
      <c r="A22" s="10"/>
      <c r="B22" s="10"/>
      <c r="C22" s="10" t="s">
        <v>5</v>
      </c>
      <c r="D22" s="24"/>
      <c r="E22" s="24"/>
      <c r="F22" s="25"/>
      <c r="G22" s="25"/>
      <c r="H22" s="26"/>
      <c r="I22" s="73">
        <f>HLOOKUP($C22,'Параметры ПФ'!$F$7:$K$12,6,FALSE)*'Параметры ПФ'!$G$23</f>
        <v>56.64</v>
      </c>
      <c r="J22" s="73">
        <f t="shared" si="3"/>
        <v>0</v>
      </c>
      <c r="K22" s="74">
        <f>IF(J22&lt;'Параметры ПФ'!$P$11+0.01,'Дистанционные программы'!J22,ROUNDDOWN('Параметры ПФ'!$J$3/IF(H22=0,I22,IF(I22&gt;H22,H22,I22)),0)*IF(H22=0,I22,IF(I22&gt;H22,H22,I22)))</f>
        <v>0</v>
      </c>
      <c r="L22" s="73">
        <f t="shared" si="4"/>
        <v>0</v>
      </c>
      <c r="M22" s="75">
        <f t="shared" si="5"/>
        <v>0</v>
      </c>
    </row>
    <row r="23" spans="1:13">
      <c r="A23" s="10"/>
      <c r="B23" s="10"/>
      <c r="C23" s="10" t="s">
        <v>5</v>
      </c>
      <c r="D23" s="24"/>
      <c r="E23" s="24"/>
      <c r="F23" s="25"/>
      <c r="G23" s="25"/>
      <c r="H23" s="26"/>
      <c r="I23" s="73">
        <f>HLOOKUP($C23,'Параметры ПФ'!$F$7:$K$12,6,FALSE)*'Параметры ПФ'!$G$23</f>
        <v>56.64</v>
      </c>
      <c r="J23" s="73">
        <f t="shared" si="3"/>
        <v>0</v>
      </c>
      <c r="K23" s="74">
        <f>IF(J23&lt;'Параметры ПФ'!$P$11+0.01,'Дистанционные программы'!J23,ROUNDDOWN('Параметры ПФ'!$J$3/IF(H23=0,I23,IF(I23&gt;H23,H23,I23)),0)*IF(H23=0,I23,IF(I23&gt;H23,H23,I23)))</f>
        <v>0</v>
      </c>
      <c r="L23" s="73">
        <f t="shared" si="4"/>
        <v>0</v>
      </c>
      <c r="M23" s="75">
        <f t="shared" si="5"/>
        <v>0</v>
      </c>
    </row>
    <row r="24" spans="1:13">
      <c r="A24" s="10"/>
      <c r="B24" s="10"/>
      <c r="C24" s="10" t="s">
        <v>5</v>
      </c>
      <c r="D24" s="24"/>
      <c r="E24" s="24"/>
      <c r="F24" s="25"/>
      <c r="G24" s="25"/>
      <c r="H24" s="26"/>
      <c r="I24" s="73">
        <f>HLOOKUP($C24,'Параметры ПФ'!$F$7:$K$12,6,FALSE)*'Параметры ПФ'!$G$23</f>
        <v>56.64</v>
      </c>
      <c r="J24" s="73">
        <f t="shared" si="3"/>
        <v>0</v>
      </c>
      <c r="K24" s="74">
        <f>IF(J24&lt;'Параметры ПФ'!$P$11+0.01,'Дистанционные программы'!J24,ROUNDDOWN('Параметры ПФ'!$J$3/IF(H24=0,I24,IF(I24&gt;H24,H24,I24)),0)*IF(H24=0,I24,IF(I24&gt;H24,H24,I24)))</f>
        <v>0</v>
      </c>
      <c r="L24" s="73">
        <f t="shared" si="4"/>
        <v>0</v>
      </c>
      <c r="M24" s="75">
        <f t="shared" si="5"/>
        <v>0</v>
      </c>
    </row>
    <row r="25" spans="1:13">
      <c r="A25" s="10"/>
      <c r="B25" s="10"/>
      <c r="C25" s="10" t="s">
        <v>5</v>
      </c>
      <c r="D25" s="24"/>
      <c r="E25" s="24"/>
      <c r="F25" s="25"/>
      <c r="G25" s="25"/>
      <c r="H25" s="26"/>
      <c r="I25" s="73">
        <f>HLOOKUP($C25,'Параметры ПФ'!$F$7:$K$12,6,FALSE)*'Параметры ПФ'!$G$23</f>
        <v>56.64</v>
      </c>
      <c r="J25" s="73">
        <f t="shared" si="3"/>
        <v>0</v>
      </c>
      <c r="K25" s="74">
        <f>IF(J25&lt;'Параметры ПФ'!$P$11+0.01,'Дистанционные программы'!J25,ROUNDDOWN('Параметры ПФ'!$J$3/IF(H25=0,I25,IF(I25&gt;H25,H25,I25)),0)*IF(H25=0,I25,IF(I25&gt;H25,H25,I25)))</f>
        <v>0</v>
      </c>
      <c r="L25" s="73">
        <f t="shared" si="4"/>
        <v>0</v>
      </c>
      <c r="M25" s="75">
        <f t="shared" si="5"/>
        <v>0</v>
      </c>
    </row>
    <row r="26" spans="1:13">
      <c r="A26" s="10"/>
      <c r="B26" s="10"/>
      <c r="C26" s="10" t="s">
        <v>5</v>
      </c>
      <c r="D26" s="24"/>
      <c r="E26" s="24"/>
      <c r="F26" s="25"/>
      <c r="G26" s="25"/>
      <c r="H26" s="26"/>
      <c r="I26" s="73">
        <f>HLOOKUP($C26,'Параметры ПФ'!$F$7:$K$12,6,FALSE)*'Параметры ПФ'!$G$23</f>
        <v>56.64</v>
      </c>
      <c r="J26" s="73">
        <f t="shared" si="3"/>
        <v>0</v>
      </c>
      <c r="K26" s="74">
        <f>IF(J26&lt;'Параметры ПФ'!$P$11+0.01,'Дистанционные программы'!J26,ROUNDDOWN('Параметры ПФ'!$J$3/IF(H26=0,I26,IF(I26&gt;H26,H26,I26)),0)*IF(H26=0,I26,IF(I26&gt;H26,H26,I26)))</f>
        <v>0</v>
      </c>
      <c r="L26" s="73">
        <f t="shared" si="4"/>
        <v>0</v>
      </c>
      <c r="M26" s="75">
        <f t="shared" si="5"/>
        <v>0</v>
      </c>
    </row>
    <row r="27" spans="1:13">
      <c r="A27" s="10"/>
      <c r="B27" s="10"/>
      <c r="C27" s="10" t="s">
        <v>5</v>
      </c>
      <c r="D27" s="24"/>
      <c r="E27" s="24"/>
      <c r="F27" s="25"/>
      <c r="G27" s="25"/>
      <c r="H27" s="26"/>
      <c r="I27" s="73">
        <f>HLOOKUP($C27,'Параметры ПФ'!$F$7:$K$12,6,FALSE)*'Параметры ПФ'!$G$23</f>
        <v>56.64</v>
      </c>
      <c r="J27" s="73">
        <f t="shared" si="3"/>
        <v>0</v>
      </c>
      <c r="K27" s="74">
        <f>IF(J27&lt;'Параметры ПФ'!$P$11+0.01,'Дистанционные программы'!J27,ROUNDDOWN('Параметры ПФ'!$J$3/IF(H27=0,I27,IF(I27&gt;H27,H27,I27)),0)*IF(H27=0,I27,IF(I27&gt;H27,H27,I27)))</f>
        <v>0</v>
      </c>
      <c r="L27" s="73">
        <f t="shared" si="4"/>
        <v>0</v>
      </c>
      <c r="M27" s="75">
        <f t="shared" si="5"/>
        <v>0</v>
      </c>
    </row>
    <row r="28" spans="1:13">
      <c r="A28" s="10"/>
      <c r="B28" s="10"/>
      <c r="C28" s="10" t="s">
        <v>5</v>
      </c>
      <c r="D28" s="24"/>
      <c r="E28" s="24"/>
      <c r="F28" s="25"/>
      <c r="G28" s="25"/>
      <c r="H28" s="26"/>
      <c r="I28" s="73">
        <f>HLOOKUP($C28,'Параметры ПФ'!$F$7:$K$12,6,FALSE)*'Параметры ПФ'!$G$23</f>
        <v>56.64</v>
      </c>
      <c r="J28" s="73">
        <f t="shared" si="3"/>
        <v>0</v>
      </c>
      <c r="K28" s="74">
        <f>IF(J28&lt;'Параметры ПФ'!$P$11+0.01,'Дистанционные программы'!J28,ROUNDDOWN('Параметры ПФ'!$J$3/IF(H28=0,I28,IF(I28&gt;H28,H28,I28)),0)*IF(H28=0,I28,IF(I28&gt;H28,H28,I28)))</f>
        <v>0</v>
      </c>
      <c r="L28" s="73">
        <f t="shared" si="4"/>
        <v>0</v>
      </c>
      <c r="M28" s="75">
        <f t="shared" si="5"/>
        <v>0</v>
      </c>
    </row>
    <row r="29" spans="1:13">
      <c r="A29" s="10"/>
      <c r="B29" s="10"/>
      <c r="C29" s="10" t="s">
        <v>5</v>
      </c>
      <c r="D29" s="24"/>
      <c r="E29" s="24"/>
      <c r="F29" s="25"/>
      <c r="G29" s="25"/>
      <c r="H29" s="26"/>
      <c r="I29" s="73">
        <f>HLOOKUP($C29,'Параметры ПФ'!$F$7:$K$12,6,FALSE)*'Параметры ПФ'!$G$23</f>
        <v>56.64</v>
      </c>
      <c r="J29" s="73">
        <f t="shared" si="3"/>
        <v>0</v>
      </c>
      <c r="K29" s="74">
        <f>IF(J29&lt;'Параметры ПФ'!$P$11+0.01,'Дистанционные программы'!J29,ROUNDDOWN('Параметры ПФ'!$J$3/IF(H29=0,I29,IF(I29&gt;H29,H29,I29)),0)*IF(H29=0,I29,IF(I29&gt;H29,H29,I29)))</f>
        <v>0</v>
      </c>
      <c r="L29" s="73">
        <f t="shared" si="4"/>
        <v>0</v>
      </c>
      <c r="M29" s="75">
        <f t="shared" si="5"/>
        <v>0</v>
      </c>
    </row>
    <row r="30" spans="1:13">
      <c r="A30" s="10"/>
      <c r="B30" s="10"/>
      <c r="C30" s="10" t="s">
        <v>5</v>
      </c>
      <c r="D30" s="24"/>
      <c r="E30" s="24"/>
      <c r="F30" s="25"/>
      <c r="G30" s="25"/>
      <c r="H30" s="26"/>
      <c r="I30" s="73">
        <f>HLOOKUP($C30,'Параметры ПФ'!$F$7:$K$12,6,FALSE)*'Параметры ПФ'!$G$23</f>
        <v>56.64</v>
      </c>
      <c r="J30" s="73">
        <f t="shared" si="3"/>
        <v>0</v>
      </c>
      <c r="K30" s="74">
        <f>IF(J30&lt;'Параметры ПФ'!$P$11+0.01,'Дистанционные программы'!J30,ROUNDDOWN('Параметры ПФ'!$J$3/IF(H30=0,I30,IF(I30&gt;H30,H30,I30)),0)*IF(H30=0,I30,IF(I30&gt;H30,H30,I30)))</f>
        <v>0</v>
      </c>
      <c r="L30" s="73">
        <f t="shared" si="4"/>
        <v>0</v>
      </c>
      <c r="M30" s="75">
        <f t="shared" si="5"/>
        <v>0</v>
      </c>
    </row>
    <row r="31" spans="1:13">
      <c r="A31" s="10"/>
      <c r="B31" s="10"/>
      <c r="C31" s="10" t="s">
        <v>5</v>
      </c>
      <c r="D31" s="24"/>
      <c r="E31" s="24"/>
      <c r="F31" s="25"/>
      <c r="G31" s="25"/>
      <c r="H31" s="26"/>
      <c r="I31" s="73">
        <f>HLOOKUP($C31,'Параметры ПФ'!$F$7:$K$12,6,FALSE)*'Параметры ПФ'!$G$23</f>
        <v>56.64</v>
      </c>
      <c r="J31" s="73">
        <f t="shared" si="3"/>
        <v>0</v>
      </c>
      <c r="K31" s="74">
        <f>IF(J31&lt;'Параметры ПФ'!$P$11+0.01,'Дистанционные программы'!J31,ROUNDDOWN('Параметры ПФ'!$J$3/IF(H31=0,I31,IF(I31&gt;H31,H31,I31)),0)*IF(H31=0,I31,IF(I31&gt;H31,H31,I31)))</f>
        <v>0</v>
      </c>
      <c r="L31" s="73">
        <f t="shared" si="4"/>
        <v>0</v>
      </c>
      <c r="M31" s="75">
        <f t="shared" si="5"/>
        <v>0</v>
      </c>
    </row>
    <row r="32" spans="1:13">
      <c r="A32" s="10"/>
      <c r="B32" s="10"/>
      <c r="C32" s="10" t="s">
        <v>5</v>
      </c>
      <c r="D32" s="24"/>
      <c r="E32" s="24"/>
      <c r="F32" s="25"/>
      <c r="G32" s="25"/>
      <c r="H32" s="26"/>
      <c r="I32" s="73">
        <f>HLOOKUP($C32,'Параметры ПФ'!$F$7:$K$12,6,FALSE)*'Параметры ПФ'!$G$23</f>
        <v>56.64</v>
      </c>
      <c r="J32" s="73">
        <f t="shared" si="3"/>
        <v>0</v>
      </c>
      <c r="K32" s="74">
        <f>IF(J32&lt;'Параметры ПФ'!$P$11+0.01,'Дистанционные программы'!J32,ROUNDDOWN('Параметры ПФ'!$J$3/IF(H32=0,I32,IF(I32&gt;H32,H32,I32)),0)*IF(H32=0,I32,IF(I32&gt;H32,H32,I32)))</f>
        <v>0</v>
      </c>
      <c r="L32" s="73">
        <f t="shared" si="4"/>
        <v>0</v>
      </c>
      <c r="M32" s="75">
        <f t="shared" si="5"/>
        <v>0</v>
      </c>
    </row>
    <row r="33" spans="1:13">
      <c r="A33" s="10"/>
      <c r="B33" s="10"/>
      <c r="C33" s="10" t="s">
        <v>5</v>
      </c>
      <c r="D33" s="24"/>
      <c r="E33" s="24"/>
      <c r="F33" s="25"/>
      <c r="G33" s="25"/>
      <c r="H33" s="26"/>
      <c r="I33" s="73">
        <f>HLOOKUP($C33,'Параметры ПФ'!$F$7:$K$12,6,FALSE)*'Параметры ПФ'!$G$23</f>
        <v>56.64</v>
      </c>
      <c r="J33" s="73">
        <f t="shared" si="3"/>
        <v>0</v>
      </c>
      <c r="K33" s="74">
        <f>IF(J33&lt;'Параметры ПФ'!$P$11+0.01,'Дистанционные программы'!J33,ROUNDDOWN('Параметры ПФ'!$J$3/IF(H33=0,I33,IF(I33&gt;H33,H33,I33)),0)*IF(H33=0,I33,IF(I33&gt;H33,H33,I33)))</f>
        <v>0</v>
      </c>
      <c r="L33" s="73">
        <f t="shared" si="4"/>
        <v>0</v>
      </c>
      <c r="M33" s="75">
        <f t="shared" si="5"/>
        <v>0</v>
      </c>
    </row>
    <row r="34" spans="1:13">
      <c r="A34" s="10"/>
      <c r="B34" s="10"/>
      <c r="C34" s="10" t="s">
        <v>5</v>
      </c>
      <c r="D34" s="24"/>
      <c r="E34" s="24"/>
      <c r="F34" s="25"/>
      <c r="G34" s="25"/>
      <c r="H34" s="26"/>
      <c r="I34" s="73">
        <f>HLOOKUP($C34,'Параметры ПФ'!$F$7:$K$12,6,FALSE)*'Параметры ПФ'!$G$23</f>
        <v>56.64</v>
      </c>
      <c r="J34" s="73">
        <f t="shared" si="3"/>
        <v>0</v>
      </c>
      <c r="K34" s="74">
        <f>IF(J34&lt;'Параметры ПФ'!$P$11+0.01,'Дистанционные программы'!J34,ROUNDDOWN('Параметры ПФ'!$J$3/IF(H34=0,I34,IF(I34&gt;H34,H34,I34)),0)*IF(H34=0,I34,IF(I34&gt;H34,H34,I34)))</f>
        <v>0</v>
      </c>
      <c r="L34" s="73">
        <f t="shared" si="4"/>
        <v>0</v>
      </c>
      <c r="M34" s="75">
        <f t="shared" si="5"/>
        <v>0</v>
      </c>
    </row>
    <row r="35" spans="1:13">
      <c r="A35" s="10"/>
      <c r="B35" s="10"/>
      <c r="C35" s="10" t="s">
        <v>5</v>
      </c>
      <c r="D35" s="24"/>
      <c r="E35" s="24"/>
      <c r="F35" s="25"/>
      <c r="G35" s="25"/>
      <c r="H35" s="26"/>
      <c r="I35" s="73">
        <f>HLOOKUP($C35,'Параметры ПФ'!$F$7:$K$12,6,FALSE)*'Параметры ПФ'!$G$23</f>
        <v>56.64</v>
      </c>
      <c r="J35" s="73">
        <f t="shared" si="3"/>
        <v>0</v>
      </c>
      <c r="K35" s="74">
        <f>IF(J35&lt;'Параметры ПФ'!$P$11+0.01,'Дистанционные программы'!J35,ROUNDDOWN('Параметры ПФ'!$J$3/IF(H35=0,I35,IF(I35&gt;H35,H35,I35)),0)*IF(H35=0,I35,IF(I35&gt;H35,H35,I35)))</f>
        <v>0</v>
      </c>
      <c r="L35" s="73">
        <f t="shared" si="4"/>
        <v>0</v>
      </c>
      <c r="M35" s="75">
        <f t="shared" si="5"/>
        <v>0</v>
      </c>
    </row>
    <row r="36" spans="1:13">
      <c r="A36" s="10"/>
      <c r="B36" s="10"/>
      <c r="C36" s="10" t="s">
        <v>5</v>
      </c>
      <c r="D36" s="24"/>
      <c r="E36" s="24"/>
      <c r="F36" s="25"/>
      <c r="G36" s="25"/>
      <c r="H36" s="26"/>
      <c r="I36" s="73">
        <f>HLOOKUP($C36,'Параметры ПФ'!$F$7:$K$12,6,FALSE)*'Параметры ПФ'!$G$23</f>
        <v>56.64</v>
      </c>
      <c r="J36" s="73">
        <f t="shared" si="3"/>
        <v>0</v>
      </c>
      <c r="K36" s="74">
        <f>IF(J36&lt;'Параметры ПФ'!$P$11+0.01,'Дистанционные программы'!J36,ROUNDDOWN('Параметры ПФ'!$J$3/IF(H36=0,I36,IF(I36&gt;H36,H36,I36)),0)*IF(H36=0,I36,IF(I36&gt;H36,H36,I36)))</f>
        <v>0</v>
      </c>
      <c r="L36" s="73">
        <f t="shared" si="4"/>
        <v>0</v>
      </c>
      <c r="M36" s="75">
        <f t="shared" si="5"/>
        <v>0</v>
      </c>
    </row>
    <row r="37" spans="1:13">
      <c r="A37" s="10"/>
      <c r="B37" s="10"/>
      <c r="C37" s="10" t="s">
        <v>5</v>
      </c>
      <c r="D37" s="24"/>
      <c r="E37" s="24"/>
      <c r="F37" s="25"/>
      <c r="G37" s="25"/>
      <c r="H37" s="26"/>
      <c r="I37" s="73">
        <f>HLOOKUP($C37,'Параметры ПФ'!$F$7:$K$12,6,FALSE)*'Параметры ПФ'!$G$23</f>
        <v>56.64</v>
      </c>
      <c r="J37" s="73">
        <f t="shared" si="3"/>
        <v>0</v>
      </c>
      <c r="K37" s="74">
        <f>IF(J37&lt;'Параметры ПФ'!$P$11+0.01,'Дистанционные программы'!J37,ROUNDDOWN('Параметры ПФ'!$J$3/IF(H37=0,I37,IF(I37&gt;H37,H37,I37)),0)*IF(H37=0,I37,IF(I37&gt;H37,H37,I37)))</f>
        <v>0</v>
      </c>
      <c r="L37" s="73">
        <f t="shared" si="4"/>
        <v>0</v>
      </c>
      <c r="M37" s="75">
        <f t="shared" si="5"/>
        <v>0</v>
      </c>
    </row>
    <row r="38" spans="1:13">
      <c r="A38" s="10"/>
      <c r="B38" s="10"/>
      <c r="C38" s="10" t="s">
        <v>5</v>
      </c>
      <c r="D38" s="24"/>
      <c r="E38" s="24"/>
      <c r="F38" s="25"/>
      <c r="G38" s="25"/>
      <c r="H38" s="26"/>
      <c r="I38" s="73">
        <f>HLOOKUP($C38,'Параметры ПФ'!$F$7:$K$12,6,FALSE)*'Параметры ПФ'!$G$23</f>
        <v>56.64</v>
      </c>
      <c r="J38" s="73">
        <f t="shared" si="3"/>
        <v>0</v>
      </c>
      <c r="K38" s="74">
        <f>IF(J38&lt;'Параметры ПФ'!$P$11+0.01,'Дистанционные программы'!J38,ROUNDDOWN('Параметры ПФ'!$J$3/IF(H38=0,I38,IF(I38&gt;H38,H38,I38)),0)*IF(H38=0,I38,IF(I38&gt;H38,H38,I38)))</f>
        <v>0</v>
      </c>
      <c r="L38" s="73">
        <f t="shared" si="4"/>
        <v>0</v>
      </c>
      <c r="M38" s="75">
        <f t="shared" si="5"/>
        <v>0</v>
      </c>
    </row>
    <row r="39" spans="1:13">
      <c r="A39" s="104"/>
      <c r="B39" s="104"/>
      <c r="C39" s="104"/>
      <c r="D39" s="104"/>
      <c r="E39" s="104"/>
      <c r="F39" s="104"/>
      <c r="G39" s="11">
        <f>SUM(G2:G38)</f>
        <v>0</v>
      </c>
      <c r="H39" s="12" t="s">
        <v>28</v>
      </c>
      <c r="I39" s="76" t="s">
        <v>28</v>
      </c>
      <c r="J39" s="77" t="s">
        <v>28</v>
      </c>
      <c r="K39" s="76" t="s">
        <v>28</v>
      </c>
      <c r="L39" s="78">
        <f>SUM(L2:L38)</f>
        <v>0</v>
      </c>
      <c r="M39" s="79" t="s">
        <v>28</v>
      </c>
    </row>
  </sheetData>
  <mergeCells count="1">
    <mergeCell ref="A39:F39"/>
  </mergeCells>
  <conditionalFormatting sqref="M2:M38">
    <cfRule type="cellIs" dxfId="2" priority="1" operator="greaterThan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topLeftCell="A13" zoomScale="80" zoomScaleNormal="80" workbookViewId="0">
      <selection activeCell="G14" sqref="G14"/>
    </sheetView>
  </sheetViews>
  <sheetFormatPr defaultRowHeight="15.75"/>
  <cols>
    <col min="1" max="3" width="24" customWidth="1"/>
    <col min="4" max="12" width="11.5" customWidth="1"/>
    <col min="13" max="13" width="16.5" customWidth="1"/>
  </cols>
  <sheetData>
    <row r="1" spans="1:13" ht="99.75" customHeight="1">
      <c r="A1" s="19" t="s">
        <v>24</v>
      </c>
      <c r="B1" s="19" t="s">
        <v>25</v>
      </c>
      <c r="C1" s="19" t="s">
        <v>7</v>
      </c>
      <c r="D1" s="20" t="s">
        <v>6</v>
      </c>
      <c r="E1" s="20" t="s">
        <v>42</v>
      </c>
      <c r="F1" s="20" t="s">
        <v>29</v>
      </c>
      <c r="G1" s="20" t="s">
        <v>26</v>
      </c>
      <c r="H1" s="21" t="s">
        <v>30</v>
      </c>
      <c r="I1" s="22" t="s">
        <v>27</v>
      </c>
      <c r="J1" s="22" t="s">
        <v>43</v>
      </c>
      <c r="K1" s="37" t="s">
        <v>44</v>
      </c>
      <c r="L1" s="22" t="s">
        <v>34</v>
      </c>
      <c r="M1" s="35" t="s">
        <v>45</v>
      </c>
    </row>
    <row r="2" spans="1:13">
      <c r="A2" s="10"/>
      <c r="B2" s="10"/>
      <c r="C2" s="10" t="s">
        <v>5</v>
      </c>
      <c r="D2" s="24"/>
      <c r="E2" s="24"/>
      <c r="F2" s="25"/>
      <c r="G2" s="25"/>
      <c r="H2" s="26"/>
      <c r="I2" s="73">
        <f>HLOOKUP($C2,'Параметры ПФ'!$F$7:$K$12,6,FALSE)*'Параметры ПФ'!$G$24</f>
        <v>56.64</v>
      </c>
      <c r="J2" s="73">
        <f>IF(H2=0,I2*F2*E2,IF(I2&gt;H2,H2*F2*E2,I2*F2*E2))</f>
        <v>0</v>
      </c>
      <c r="K2" s="74">
        <f>IF(J2&lt;'Параметры ПФ'!$J$3+0.01,'Очно-заочные программы'!J2,ROUNDDOWN('Параметры ПФ'!$J$3/IF(H2=0,I2,IF(I2&gt;H2,H2,I2)),0)*IF(H2=0,I2,IF(I2&gt;H2,H2,I2)))</f>
        <v>0</v>
      </c>
      <c r="L2" s="73">
        <f t="shared" ref="L2" si="0">K2*G2</f>
        <v>0</v>
      </c>
      <c r="M2" s="75">
        <f>IF(H2=0,I2*F2*E2,IF(I2&gt;H2,H2*F2*E2,I2*F2*E2))-K2</f>
        <v>0</v>
      </c>
    </row>
    <row r="3" spans="1:13">
      <c r="A3" s="10"/>
      <c r="B3" s="10"/>
      <c r="C3" s="10" t="s">
        <v>5</v>
      </c>
      <c r="D3" s="24"/>
      <c r="E3" s="24"/>
      <c r="F3" s="25"/>
      <c r="G3" s="25"/>
      <c r="H3" s="26"/>
      <c r="I3" s="73">
        <f>HLOOKUP($C3,'Параметры ПФ'!$F$7:$K$12,6,FALSE)*'Параметры ПФ'!$G$24</f>
        <v>56.64</v>
      </c>
      <c r="J3" s="73">
        <f t="shared" ref="J3:J38" si="1">IF(H3=0,I3*F3*E3,IF(I3&gt;H3,H3*F3*E3,I3*F3*E3))</f>
        <v>0</v>
      </c>
      <c r="K3" s="74">
        <f>IF(J3&lt;'Параметры ПФ'!$J$3+0.01,'Очно-заочные программы'!J3,ROUNDDOWN('Параметры ПФ'!$J$3/IF(H3=0,I3,IF(I3&gt;H3,H3,I3)),0)*IF(H3=0,I3,IF(I3&gt;H3,H3,I3)))</f>
        <v>0</v>
      </c>
      <c r="L3" s="73">
        <f t="shared" ref="L3:L38" si="2">K3*G3</f>
        <v>0</v>
      </c>
      <c r="M3" s="75">
        <f t="shared" ref="M3:M38" si="3">IF(H3=0,I3*F3*E3,IF(I3&gt;H3,H3*F3*E3,I3*F3*E3))-K3</f>
        <v>0</v>
      </c>
    </row>
    <row r="4" spans="1:13">
      <c r="A4" s="10"/>
      <c r="B4" s="10"/>
      <c r="C4" s="10" t="s">
        <v>5</v>
      </c>
      <c r="D4" s="24"/>
      <c r="E4" s="24"/>
      <c r="F4" s="25"/>
      <c r="G4" s="25"/>
      <c r="H4" s="26"/>
      <c r="I4" s="73">
        <f>HLOOKUP($C4,'Параметры ПФ'!$F$7:$K$12,6,FALSE)*'Параметры ПФ'!$G$24</f>
        <v>56.64</v>
      </c>
      <c r="J4" s="73">
        <f t="shared" si="1"/>
        <v>0</v>
      </c>
      <c r="K4" s="74">
        <f>IF(J4&lt;'Параметры ПФ'!$J$3+0.01,'Очно-заочные программы'!J4,ROUNDDOWN('Параметры ПФ'!$J$3/IF(H4=0,I4,IF(I4&gt;H4,H4,I4)),0)*IF(H4=0,I4,IF(I4&gt;H4,H4,I4)))</f>
        <v>0</v>
      </c>
      <c r="L4" s="73">
        <f t="shared" si="2"/>
        <v>0</v>
      </c>
      <c r="M4" s="75">
        <f t="shared" si="3"/>
        <v>0</v>
      </c>
    </row>
    <row r="5" spans="1:13">
      <c r="A5" s="10"/>
      <c r="B5" s="10"/>
      <c r="C5" s="10" t="s">
        <v>5</v>
      </c>
      <c r="D5" s="24"/>
      <c r="E5" s="24"/>
      <c r="F5" s="25"/>
      <c r="G5" s="25"/>
      <c r="H5" s="26"/>
      <c r="I5" s="73">
        <f>HLOOKUP($C5,'Параметры ПФ'!$F$7:$K$12,6,FALSE)*'Параметры ПФ'!$G$24</f>
        <v>56.64</v>
      </c>
      <c r="J5" s="73">
        <f t="shared" si="1"/>
        <v>0</v>
      </c>
      <c r="K5" s="74">
        <f>IF(J5&lt;'Параметры ПФ'!$J$3+0.01,'Очно-заочные программы'!J5,ROUNDDOWN('Параметры ПФ'!$J$3/IF(H5=0,I5,IF(I5&gt;H5,H5,I5)),0)*IF(H5=0,I5,IF(I5&gt;H5,H5,I5)))</f>
        <v>0</v>
      </c>
      <c r="L5" s="73">
        <f t="shared" si="2"/>
        <v>0</v>
      </c>
      <c r="M5" s="75">
        <f t="shared" si="3"/>
        <v>0</v>
      </c>
    </row>
    <row r="6" spans="1:13">
      <c r="A6" s="10"/>
      <c r="B6" s="10"/>
      <c r="C6" s="10" t="s">
        <v>5</v>
      </c>
      <c r="D6" s="24"/>
      <c r="E6" s="24"/>
      <c r="F6" s="25"/>
      <c r="G6" s="25"/>
      <c r="H6" s="26"/>
      <c r="I6" s="73">
        <f>HLOOKUP($C6,'Параметры ПФ'!$F$7:$K$12,6,FALSE)*'Параметры ПФ'!$G$24</f>
        <v>56.64</v>
      </c>
      <c r="J6" s="73">
        <f t="shared" si="1"/>
        <v>0</v>
      </c>
      <c r="K6" s="74">
        <f>IF(J6&lt;'Параметры ПФ'!$J$3+0.01,'Очно-заочные программы'!J6,ROUNDDOWN('Параметры ПФ'!$J$3/IF(H6=0,I6,IF(I6&gt;H6,H6,I6)),0)*IF(H6=0,I6,IF(I6&gt;H6,H6,I6)))</f>
        <v>0</v>
      </c>
      <c r="L6" s="73">
        <f t="shared" si="2"/>
        <v>0</v>
      </c>
      <c r="M6" s="75">
        <f t="shared" si="3"/>
        <v>0</v>
      </c>
    </row>
    <row r="7" spans="1:13">
      <c r="A7" s="10"/>
      <c r="B7" s="10"/>
      <c r="C7" s="10" t="s">
        <v>5</v>
      </c>
      <c r="D7" s="24"/>
      <c r="E7" s="24"/>
      <c r="F7" s="25"/>
      <c r="G7" s="25"/>
      <c r="H7" s="26"/>
      <c r="I7" s="73">
        <f>HLOOKUP($C7,'Параметры ПФ'!$F$7:$K$12,6,FALSE)*'Параметры ПФ'!$G$24</f>
        <v>56.64</v>
      </c>
      <c r="J7" s="73">
        <f t="shared" si="1"/>
        <v>0</v>
      </c>
      <c r="K7" s="74">
        <f>IF(J7&lt;'Параметры ПФ'!$J$3+0.01,'Очно-заочные программы'!J7,ROUNDDOWN('Параметры ПФ'!$J$3/IF(H7=0,I7,IF(I7&gt;H7,H7,I7)),0)*IF(H7=0,I7,IF(I7&gt;H7,H7,I7)))</f>
        <v>0</v>
      </c>
      <c r="L7" s="73">
        <f t="shared" si="2"/>
        <v>0</v>
      </c>
      <c r="M7" s="75">
        <f t="shared" si="3"/>
        <v>0</v>
      </c>
    </row>
    <row r="8" spans="1:13">
      <c r="A8" s="10"/>
      <c r="B8" s="10"/>
      <c r="C8" s="10" t="s">
        <v>5</v>
      </c>
      <c r="D8" s="24"/>
      <c r="E8" s="24"/>
      <c r="F8" s="25"/>
      <c r="G8" s="25"/>
      <c r="H8" s="26"/>
      <c r="I8" s="73">
        <f>HLOOKUP($C8,'Параметры ПФ'!$F$7:$K$12,6,FALSE)*'Параметры ПФ'!$G$24</f>
        <v>56.64</v>
      </c>
      <c r="J8" s="73">
        <f t="shared" si="1"/>
        <v>0</v>
      </c>
      <c r="K8" s="74">
        <f>IF(J8&lt;'Параметры ПФ'!$J$3+0.01,'Очно-заочные программы'!J8,ROUNDDOWN('Параметры ПФ'!$J$3/IF(H8=0,I8,IF(I8&gt;H8,H8,I8)),0)*IF(H8=0,I8,IF(I8&gt;H8,H8,I8)))</f>
        <v>0</v>
      </c>
      <c r="L8" s="73">
        <f t="shared" si="2"/>
        <v>0</v>
      </c>
      <c r="M8" s="75">
        <f t="shared" si="3"/>
        <v>0</v>
      </c>
    </row>
    <row r="9" spans="1:13">
      <c r="A9" s="10"/>
      <c r="B9" s="10"/>
      <c r="C9" s="10" t="s">
        <v>5</v>
      </c>
      <c r="D9" s="24"/>
      <c r="E9" s="24"/>
      <c r="F9" s="25"/>
      <c r="G9" s="25"/>
      <c r="H9" s="26"/>
      <c r="I9" s="73">
        <f>HLOOKUP($C9,'Параметры ПФ'!$F$7:$K$12,6,FALSE)*'Параметры ПФ'!$G$24</f>
        <v>56.64</v>
      </c>
      <c r="J9" s="73">
        <f t="shared" si="1"/>
        <v>0</v>
      </c>
      <c r="K9" s="74">
        <f>IF(J9&lt;'Параметры ПФ'!$J$3+0.01,'Очно-заочные программы'!J9,ROUNDDOWN('Параметры ПФ'!$J$3/IF(H9=0,I9,IF(I9&gt;H9,H9,I9)),0)*IF(H9=0,I9,IF(I9&gt;H9,H9,I9)))</f>
        <v>0</v>
      </c>
      <c r="L9" s="73">
        <f t="shared" si="2"/>
        <v>0</v>
      </c>
      <c r="M9" s="75">
        <f t="shared" si="3"/>
        <v>0</v>
      </c>
    </row>
    <row r="10" spans="1:13">
      <c r="A10" s="10"/>
      <c r="B10" s="10"/>
      <c r="C10" s="10" t="s">
        <v>5</v>
      </c>
      <c r="D10" s="24"/>
      <c r="E10" s="24"/>
      <c r="F10" s="25"/>
      <c r="G10" s="25"/>
      <c r="H10" s="26"/>
      <c r="I10" s="73">
        <f>HLOOKUP($C10,'Параметры ПФ'!$F$7:$K$12,6,FALSE)*'Параметры ПФ'!$G$24</f>
        <v>56.64</v>
      </c>
      <c r="J10" s="73">
        <f t="shared" si="1"/>
        <v>0</v>
      </c>
      <c r="K10" s="74">
        <f>IF(J10&lt;'Параметры ПФ'!$J$3+0.01,'Очно-заочные программы'!J10,ROUNDDOWN('Параметры ПФ'!$J$3/IF(H10=0,I10,IF(I10&gt;H10,H10,I10)),0)*IF(H10=0,I10,IF(I10&gt;H10,H10,I10)))</f>
        <v>0</v>
      </c>
      <c r="L10" s="73">
        <f t="shared" si="2"/>
        <v>0</v>
      </c>
      <c r="M10" s="75">
        <f t="shared" si="3"/>
        <v>0</v>
      </c>
    </row>
    <row r="11" spans="1:13">
      <c r="A11" s="10"/>
      <c r="B11" s="10"/>
      <c r="C11" s="10" t="s">
        <v>5</v>
      </c>
      <c r="D11" s="24"/>
      <c r="E11" s="24"/>
      <c r="F11" s="25"/>
      <c r="G11" s="25"/>
      <c r="H11" s="26"/>
      <c r="I11" s="73">
        <f>HLOOKUP($C11,'Параметры ПФ'!$F$7:$K$12,6,FALSE)*'Параметры ПФ'!$G$24</f>
        <v>56.64</v>
      </c>
      <c r="J11" s="73">
        <f t="shared" si="1"/>
        <v>0</v>
      </c>
      <c r="K11" s="74">
        <f>IF(J11&lt;'Параметры ПФ'!$J$3+0.01,'Очно-заочные программы'!J11,ROUNDDOWN('Параметры ПФ'!$J$3/IF(H11=0,I11,IF(I11&gt;H11,H11,I11)),0)*IF(H11=0,I11,IF(I11&gt;H11,H11,I11)))</f>
        <v>0</v>
      </c>
      <c r="L11" s="73">
        <f t="shared" si="2"/>
        <v>0</v>
      </c>
      <c r="M11" s="75">
        <f t="shared" si="3"/>
        <v>0</v>
      </c>
    </row>
    <row r="12" spans="1:13">
      <c r="A12" s="10"/>
      <c r="B12" s="10"/>
      <c r="C12" s="10" t="s">
        <v>5</v>
      </c>
      <c r="D12" s="24"/>
      <c r="E12" s="24"/>
      <c r="F12" s="25"/>
      <c r="G12" s="25"/>
      <c r="H12" s="26"/>
      <c r="I12" s="73">
        <f>HLOOKUP($C12,'Параметры ПФ'!$F$7:$K$12,6,FALSE)*'Параметры ПФ'!$G$24</f>
        <v>56.64</v>
      </c>
      <c r="J12" s="73">
        <f t="shared" si="1"/>
        <v>0</v>
      </c>
      <c r="K12" s="74">
        <f>IF(J12&lt;'Параметры ПФ'!$J$3+0.01,'Очно-заочные программы'!J12,ROUNDDOWN('Параметры ПФ'!$J$3/IF(H12=0,I12,IF(I12&gt;H12,H12,I12)),0)*IF(H12=0,I12,IF(I12&gt;H12,H12,I12)))</f>
        <v>0</v>
      </c>
      <c r="L12" s="73">
        <f t="shared" si="2"/>
        <v>0</v>
      </c>
      <c r="M12" s="75">
        <f t="shared" si="3"/>
        <v>0</v>
      </c>
    </row>
    <row r="13" spans="1:13">
      <c r="A13" s="10"/>
      <c r="B13" s="10"/>
      <c r="C13" s="10" t="s">
        <v>5</v>
      </c>
      <c r="D13" s="24"/>
      <c r="E13" s="24"/>
      <c r="F13" s="25"/>
      <c r="G13" s="25"/>
      <c r="H13" s="26"/>
      <c r="I13" s="73">
        <f>HLOOKUP($C13,'Параметры ПФ'!$F$7:$K$12,6,FALSE)*'Параметры ПФ'!$G$24</f>
        <v>56.64</v>
      </c>
      <c r="J13" s="73">
        <f t="shared" si="1"/>
        <v>0</v>
      </c>
      <c r="K13" s="74">
        <f>IF(J13&lt;'Параметры ПФ'!$J$3+0.01,'Очно-заочные программы'!J13,ROUNDDOWN('Параметры ПФ'!$J$3/IF(H13=0,I13,IF(I13&gt;H13,H13,I13)),0)*IF(H13=0,I13,IF(I13&gt;H13,H13,I13)))</f>
        <v>0</v>
      </c>
      <c r="L13" s="73">
        <f t="shared" si="2"/>
        <v>0</v>
      </c>
      <c r="M13" s="75">
        <f t="shared" si="3"/>
        <v>0</v>
      </c>
    </row>
    <row r="14" spans="1:13">
      <c r="A14" s="10"/>
      <c r="B14" s="10"/>
      <c r="C14" s="10" t="s">
        <v>5</v>
      </c>
      <c r="D14" s="24"/>
      <c r="E14" s="24"/>
      <c r="F14" s="25"/>
      <c r="G14" s="25"/>
      <c r="H14" s="26"/>
      <c r="I14" s="73">
        <f>HLOOKUP($C14,'Параметры ПФ'!$F$7:$K$12,6,FALSE)*'Параметры ПФ'!$G$24</f>
        <v>56.64</v>
      </c>
      <c r="J14" s="73">
        <f t="shared" si="1"/>
        <v>0</v>
      </c>
      <c r="K14" s="74">
        <f>IF(J14&lt;'Параметры ПФ'!$J$3+0.01,'Очно-заочные программы'!J14,ROUNDDOWN('Параметры ПФ'!$J$3/IF(H14=0,I14,IF(I14&gt;H14,H14,I14)),0)*IF(H14=0,I14,IF(I14&gt;H14,H14,I14)))</f>
        <v>0</v>
      </c>
      <c r="L14" s="73">
        <f t="shared" si="2"/>
        <v>0</v>
      </c>
      <c r="M14" s="75">
        <f t="shared" si="3"/>
        <v>0</v>
      </c>
    </row>
    <row r="15" spans="1:13">
      <c r="A15" s="10"/>
      <c r="B15" s="10"/>
      <c r="C15" s="10" t="s">
        <v>5</v>
      </c>
      <c r="D15" s="24"/>
      <c r="E15" s="24"/>
      <c r="F15" s="25"/>
      <c r="G15" s="25"/>
      <c r="H15" s="26"/>
      <c r="I15" s="73">
        <f>HLOOKUP($C15,'Параметры ПФ'!$F$7:$K$12,6,FALSE)*'Параметры ПФ'!$G$24</f>
        <v>56.64</v>
      </c>
      <c r="J15" s="73">
        <f t="shared" si="1"/>
        <v>0</v>
      </c>
      <c r="K15" s="74">
        <f>IF(J15&lt;'Параметры ПФ'!$J$3+0.01,'Очно-заочные программы'!J15,ROUNDDOWN('Параметры ПФ'!$J$3/IF(H15=0,I15,IF(I15&gt;H15,H15,I15)),0)*IF(H15=0,I15,IF(I15&gt;H15,H15,I15)))</f>
        <v>0</v>
      </c>
      <c r="L15" s="73">
        <f t="shared" si="2"/>
        <v>0</v>
      </c>
      <c r="M15" s="75">
        <f t="shared" si="3"/>
        <v>0</v>
      </c>
    </row>
    <row r="16" spans="1:13">
      <c r="A16" s="10"/>
      <c r="B16" s="10"/>
      <c r="C16" s="10" t="s">
        <v>5</v>
      </c>
      <c r="D16" s="24"/>
      <c r="E16" s="24"/>
      <c r="F16" s="25"/>
      <c r="G16" s="25"/>
      <c r="H16" s="26"/>
      <c r="I16" s="73">
        <f>HLOOKUP($C16,'Параметры ПФ'!$F$7:$K$12,6,FALSE)*'Параметры ПФ'!$G$24</f>
        <v>56.64</v>
      </c>
      <c r="J16" s="73">
        <f t="shared" si="1"/>
        <v>0</v>
      </c>
      <c r="K16" s="74">
        <f>IF(J16&lt;'Параметры ПФ'!$J$3+0.01,'Очно-заочные программы'!J16,ROUNDDOWN('Параметры ПФ'!$J$3/IF(H16=0,I16,IF(I16&gt;H16,H16,I16)),0)*IF(H16=0,I16,IF(I16&gt;H16,H16,I16)))</f>
        <v>0</v>
      </c>
      <c r="L16" s="73">
        <f t="shared" si="2"/>
        <v>0</v>
      </c>
      <c r="M16" s="75">
        <f t="shared" si="3"/>
        <v>0</v>
      </c>
    </row>
    <row r="17" spans="1:13">
      <c r="A17" s="10"/>
      <c r="B17" s="10"/>
      <c r="C17" s="10" t="s">
        <v>5</v>
      </c>
      <c r="D17" s="24"/>
      <c r="E17" s="24"/>
      <c r="F17" s="25"/>
      <c r="G17" s="25"/>
      <c r="H17" s="26"/>
      <c r="I17" s="73">
        <f>HLOOKUP($C17,'Параметры ПФ'!$F$7:$K$12,6,FALSE)*'Параметры ПФ'!$G$24</f>
        <v>56.64</v>
      </c>
      <c r="J17" s="73">
        <f t="shared" si="1"/>
        <v>0</v>
      </c>
      <c r="K17" s="74">
        <f>IF(J17&lt;'Параметры ПФ'!$J$3+0.01,'Очно-заочные программы'!J17,ROUNDDOWN('Параметры ПФ'!$J$3/IF(H17=0,I17,IF(I17&gt;H17,H17,I17)),0)*IF(H17=0,I17,IF(I17&gt;H17,H17,I17)))</f>
        <v>0</v>
      </c>
      <c r="L17" s="73">
        <f t="shared" si="2"/>
        <v>0</v>
      </c>
      <c r="M17" s="75">
        <f t="shared" si="3"/>
        <v>0</v>
      </c>
    </row>
    <row r="18" spans="1:13">
      <c r="A18" s="10"/>
      <c r="B18" s="10"/>
      <c r="C18" s="10" t="s">
        <v>5</v>
      </c>
      <c r="D18" s="24"/>
      <c r="E18" s="24"/>
      <c r="F18" s="25"/>
      <c r="G18" s="25"/>
      <c r="H18" s="26"/>
      <c r="I18" s="73">
        <f>HLOOKUP($C18,'Параметры ПФ'!$F$7:$K$12,6,FALSE)*'Параметры ПФ'!$G$24</f>
        <v>56.64</v>
      </c>
      <c r="J18" s="73">
        <f t="shared" si="1"/>
        <v>0</v>
      </c>
      <c r="K18" s="74">
        <f>IF(J18&lt;'Параметры ПФ'!$J$3+0.01,'Очно-заочные программы'!J18,ROUNDDOWN('Параметры ПФ'!$J$3/IF(H18=0,I18,IF(I18&gt;H18,H18,I18)),0)*IF(H18=0,I18,IF(I18&gt;H18,H18,I18)))</f>
        <v>0</v>
      </c>
      <c r="L18" s="73">
        <f t="shared" si="2"/>
        <v>0</v>
      </c>
      <c r="M18" s="75">
        <f t="shared" si="3"/>
        <v>0</v>
      </c>
    </row>
    <row r="19" spans="1:13">
      <c r="A19" s="10"/>
      <c r="B19" s="10"/>
      <c r="C19" s="10" t="s">
        <v>5</v>
      </c>
      <c r="D19" s="24"/>
      <c r="E19" s="24"/>
      <c r="F19" s="25"/>
      <c r="G19" s="25"/>
      <c r="H19" s="26"/>
      <c r="I19" s="73">
        <f>HLOOKUP($C19,'Параметры ПФ'!$F$7:$K$12,6,FALSE)*'Параметры ПФ'!$G$24</f>
        <v>56.64</v>
      </c>
      <c r="J19" s="73">
        <f t="shared" si="1"/>
        <v>0</v>
      </c>
      <c r="K19" s="74">
        <f>IF(J19&lt;'Параметры ПФ'!$J$3+0.01,'Очно-заочные программы'!J19,ROUNDDOWN('Параметры ПФ'!$J$3/IF(H19=0,I19,IF(I19&gt;H19,H19,I19)),0)*IF(H19=0,I19,IF(I19&gt;H19,H19,I19)))</f>
        <v>0</v>
      </c>
      <c r="L19" s="73">
        <f t="shared" si="2"/>
        <v>0</v>
      </c>
      <c r="M19" s="75">
        <f t="shared" si="3"/>
        <v>0</v>
      </c>
    </row>
    <row r="20" spans="1:13">
      <c r="A20" s="10"/>
      <c r="B20" s="10"/>
      <c r="C20" s="10" t="s">
        <v>5</v>
      </c>
      <c r="D20" s="24"/>
      <c r="E20" s="24"/>
      <c r="F20" s="25"/>
      <c r="G20" s="25"/>
      <c r="H20" s="26"/>
      <c r="I20" s="73">
        <f>HLOOKUP($C20,'Параметры ПФ'!$F$7:$K$12,6,FALSE)*'Параметры ПФ'!$G$24</f>
        <v>56.64</v>
      </c>
      <c r="J20" s="73">
        <f t="shared" si="1"/>
        <v>0</v>
      </c>
      <c r="K20" s="74">
        <f>IF(J20&lt;'Параметры ПФ'!$J$3+0.01,'Очно-заочные программы'!J20,ROUNDDOWN('Параметры ПФ'!$J$3/IF(H20=0,I20,IF(I20&gt;H20,H20,I20)),0)*IF(H20=0,I20,IF(I20&gt;H20,H20,I20)))</f>
        <v>0</v>
      </c>
      <c r="L20" s="73">
        <f t="shared" si="2"/>
        <v>0</v>
      </c>
      <c r="M20" s="75">
        <f t="shared" si="3"/>
        <v>0</v>
      </c>
    </row>
    <row r="21" spans="1:13">
      <c r="A21" s="10"/>
      <c r="B21" s="10"/>
      <c r="C21" s="10" t="s">
        <v>5</v>
      </c>
      <c r="D21" s="24"/>
      <c r="E21" s="24"/>
      <c r="F21" s="25"/>
      <c r="G21" s="25"/>
      <c r="H21" s="26"/>
      <c r="I21" s="73">
        <f>HLOOKUP($C21,'Параметры ПФ'!$F$7:$K$12,6,FALSE)*'Параметры ПФ'!$G$24</f>
        <v>56.64</v>
      </c>
      <c r="J21" s="73">
        <f t="shared" si="1"/>
        <v>0</v>
      </c>
      <c r="K21" s="74">
        <f>IF(J21&lt;'Параметры ПФ'!$J$3+0.01,'Очно-заочные программы'!J21,ROUNDDOWN('Параметры ПФ'!$J$3/IF(H21=0,I21,IF(I21&gt;H21,H21,I21)),0)*IF(H21=0,I21,IF(I21&gt;H21,H21,I21)))</f>
        <v>0</v>
      </c>
      <c r="L21" s="73">
        <f t="shared" si="2"/>
        <v>0</v>
      </c>
      <c r="M21" s="75">
        <f t="shared" si="3"/>
        <v>0</v>
      </c>
    </row>
    <row r="22" spans="1:13">
      <c r="A22" s="10"/>
      <c r="B22" s="10"/>
      <c r="C22" s="10" t="s">
        <v>5</v>
      </c>
      <c r="D22" s="24"/>
      <c r="E22" s="24"/>
      <c r="F22" s="25"/>
      <c r="G22" s="25"/>
      <c r="H22" s="26"/>
      <c r="I22" s="73">
        <f>HLOOKUP($C22,'Параметры ПФ'!$F$7:$K$12,6,FALSE)*'Параметры ПФ'!$G$24</f>
        <v>56.64</v>
      </c>
      <c r="J22" s="73">
        <f t="shared" si="1"/>
        <v>0</v>
      </c>
      <c r="K22" s="74">
        <f>IF(J22&lt;'Параметры ПФ'!$J$3+0.01,'Очно-заочные программы'!J22,ROUNDDOWN('Параметры ПФ'!$J$3/IF(H22=0,I22,IF(I22&gt;H22,H22,I22)),0)*IF(H22=0,I22,IF(I22&gt;H22,H22,I22)))</f>
        <v>0</v>
      </c>
      <c r="L22" s="73">
        <f t="shared" si="2"/>
        <v>0</v>
      </c>
      <c r="M22" s="75">
        <f t="shared" si="3"/>
        <v>0</v>
      </c>
    </row>
    <row r="23" spans="1:13">
      <c r="A23" s="10"/>
      <c r="B23" s="10"/>
      <c r="C23" s="10" t="s">
        <v>5</v>
      </c>
      <c r="D23" s="24"/>
      <c r="E23" s="24"/>
      <c r="F23" s="25"/>
      <c r="G23" s="25"/>
      <c r="H23" s="26"/>
      <c r="I23" s="73">
        <f>HLOOKUP($C23,'Параметры ПФ'!$F$7:$K$12,6,FALSE)*'Параметры ПФ'!$G$24</f>
        <v>56.64</v>
      </c>
      <c r="J23" s="73">
        <f t="shared" si="1"/>
        <v>0</v>
      </c>
      <c r="K23" s="74">
        <f>IF(J23&lt;'Параметры ПФ'!$J$3+0.01,'Очно-заочные программы'!J23,ROUNDDOWN('Параметры ПФ'!$J$3/IF(H23=0,I23,IF(I23&gt;H23,H23,I23)),0)*IF(H23=0,I23,IF(I23&gt;H23,H23,I23)))</f>
        <v>0</v>
      </c>
      <c r="L23" s="73">
        <f t="shared" si="2"/>
        <v>0</v>
      </c>
      <c r="M23" s="75">
        <f t="shared" si="3"/>
        <v>0</v>
      </c>
    </row>
    <row r="24" spans="1:13">
      <c r="A24" s="10"/>
      <c r="B24" s="10"/>
      <c r="C24" s="10" t="s">
        <v>5</v>
      </c>
      <c r="D24" s="24"/>
      <c r="E24" s="24"/>
      <c r="F24" s="25"/>
      <c r="G24" s="25"/>
      <c r="H24" s="26"/>
      <c r="I24" s="73">
        <f>HLOOKUP($C24,'Параметры ПФ'!$F$7:$K$12,6,FALSE)*'Параметры ПФ'!$G$24</f>
        <v>56.64</v>
      </c>
      <c r="J24" s="73">
        <f t="shared" si="1"/>
        <v>0</v>
      </c>
      <c r="K24" s="74">
        <f>IF(J24&lt;'Параметры ПФ'!$J$3+0.01,'Очно-заочные программы'!J24,ROUNDDOWN('Параметры ПФ'!$J$3/IF(H24=0,I24,IF(I24&gt;H24,H24,I24)),0)*IF(H24=0,I24,IF(I24&gt;H24,H24,I24)))</f>
        <v>0</v>
      </c>
      <c r="L24" s="73">
        <f t="shared" si="2"/>
        <v>0</v>
      </c>
      <c r="M24" s="75">
        <f t="shared" si="3"/>
        <v>0</v>
      </c>
    </row>
    <row r="25" spans="1:13">
      <c r="A25" s="10"/>
      <c r="B25" s="10"/>
      <c r="C25" s="10" t="s">
        <v>5</v>
      </c>
      <c r="D25" s="24"/>
      <c r="E25" s="24"/>
      <c r="F25" s="25"/>
      <c r="G25" s="25"/>
      <c r="H25" s="26"/>
      <c r="I25" s="73">
        <f>HLOOKUP($C25,'Параметры ПФ'!$F$7:$K$12,6,FALSE)*'Параметры ПФ'!$G$24</f>
        <v>56.64</v>
      </c>
      <c r="J25" s="73">
        <f t="shared" si="1"/>
        <v>0</v>
      </c>
      <c r="K25" s="74">
        <f>IF(J25&lt;'Параметры ПФ'!$J$3+0.01,'Очно-заочные программы'!J25,ROUNDDOWN('Параметры ПФ'!$J$3/IF(H25=0,I25,IF(I25&gt;H25,H25,I25)),0)*IF(H25=0,I25,IF(I25&gt;H25,H25,I25)))</f>
        <v>0</v>
      </c>
      <c r="L25" s="73">
        <f t="shared" si="2"/>
        <v>0</v>
      </c>
      <c r="M25" s="75">
        <f t="shared" si="3"/>
        <v>0</v>
      </c>
    </row>
    <row r="26" spans="1:13">
      <c r="A26" s="10"/>
      <c r="B26" s="10"/>
      <c r="C26" s="10" t="s">
        <v>5</v>
      </c>
      <c r="D26" s="24"/>
      <c r="E26" s="24"/>
      <c r="F26" s="25"/>
      <c r="G26" s="25"/>
      <c r="H26" s="26"/>
      <c r="I26" s="73">
        <f>HLOOKUP($C26,'Параметры ПФ'!$F$7:$K$12,6,FALSE)*'Параметры ПФ'!$G$24</f>
        <v>56.64</v>
      </c>
      <c r="J26" s="73">
        <f t="shared" si="1"/>
        <v>0</v>
      </c>
      <c r="K26" s="74">
        <f>IF(J26&lt;'Параметры ПФ'!$J$3+0.01,'Очно-заочные программы'!J26,ROUNDDOWN('Параметры ПФ'!$J$3/IF(H26=0,I26,IF(I26&gt;H26,H26,I26)),0)*IF(H26=0,I26,IF(I26&gt;H26,H26,I26)))</f>
        <v>0</v>
      </c>
      <c r="L26" s="73">
        <f t="shared" si="2"/>
        <v>0</v>
      </c>
      <c r="M26" s="75">
        <f t="shared" si="3"/>
        <v>0</v>
      </c>
    </row>
    <row r="27" spans="1:13">
      <c r="A27" s="10"/>
      <c r="B27" s="10"/>
      <c r="C27" s="10" t="s">
        <v>5</v>
      </c>
      <c r="D27" s="24"/>
      <c r="E27" s="24"/>
      <c r="F27" s="25"/>
      <c r="G27" s="25"/>
      <c r="H27" s="26"/>
      <c r="I27" s="73">
        <f>HLOOKUP($C27,'Параметры ПФ'!$F$7:$K$12,6,FALSE)*'Параметры ПФ'!$G$24</f>
        <v>56.64</v>
      </c>
      <c r="J27" s="73">
        <f t="shared" si="1"/>
        <v>0</v>
      </c>
      <c r="K27" s="74">
        <f>IF(J27&lt;'Параметры ПФ'!$J$3+0.01,'Очно-заочные программы'!J27,ROUNDDOWN('Параметры ПФ'!$J$3/IF(H27=0,I27,IF(I27&gt;H27,H27,I27)),0)*IF(H27=0,I27,IF(I27&gt;H27,H27,I27)))</f>
        <v>0</v>
      </c>
      <c r="L27" s="73">
        <f t="shared" si="2"/>
        <v>0</v>
      </c>
      <c r="M27" s="75">
        <f t="shared" si="3"/>
        <v>0</v>
      </c>
    </row>
    <row r="28" spans="1:13">
      <c r="A28" s="10"/>
      <c r="B28" s="10"/>
      <c r="C28" s="10" t="s">
        <v>5</v>
      </c>
      <c r="D28" s="24"/>
      <c r="E28" s="24"/>
      <c r="F28" s="25"/>
      <c r="G28" s="25"/>
      <c r="H28" s="26"/>
      <c r="I28" s="73">
        <f>HLOOKUP($C28,'Параметры ПФ'!$F$7:$K$12,6,FALSE)*'Параметры ПФ'!$G$24</f>
        <v>56.64</v>
      </c>
      <c r="J28" s="73">
        <f t="shared" si="1"/>
        <v>0</v>
      </c>
      <c r="K28" s="74">
        <f>IF(J28&lt;'Параметры ПФ'!$J$3+0.01,'Очно-заочные программы'!J28,ROUNDDOWN('Параметры ПФ'!$J$3/IF(H28=0,I28,IF(I28&gt;H28,H28,I28)),0)*IF(H28=0,I28,IF(I28&gt;H28,H28,I28)))</f>
        <v>0</v>
      </c>
      <c r="L28" s="73">
        <f t="shared" si="2"/>
        <v>0</v>
      </c>
      <c r="M28" s="75">
        <f t="shared" si="3"/>
        <v>0</v>
      </c>
    </row>
    <row r="29" spans="1:13">
      <c r="A29" s="10"/>
      <c r="B29" s="10"/>
      <c r="C29" s="10" t="s">
        <v>5</v>
      </c>
      <c r="D29" s="24"/>
      <c r="E29" s="24"/>
      <c r="F29" s="25"/>
      <c r="G29" s="25"/>
      <c r="H29" s="26"/>
      <c r="I29" s="73">
        <f>HLOOKUP($C29,'Параметры ПФ'!$F$7:$K$12,6,FALSE)*'Параметры ПФ'!$G$24</f>
        <v>56.64</v>
      </c>
      <c r="J29" s="73">
        <f t="shared" si="1"/>
        <v>0</v>
      </c>
      <c r="K29" s="74">
        <f>IF(J29&lt;'Параметры ПФ'!$J$3+0.01,'Очно-заочные программы'!J29,ROUNDDOWN('Параметры ПФ'!$J$3/IF(H29=0,I29,IF(I29&gt;H29,H29,I29)),0)*IF(H29=0,I29,IF(I29&gt;H29,H29,I29)))</f>
        <v>0</v>
      </c>
      <c r="L29" s="73">
        <f t="shared" si="2"/>
        <v>0</v>
      </c>
      <c r="M29" s="75">
        <f t="shared" si="3"/>
        <v>0</v>
      </c>
    </row>
    <row r="30" spans="1:13">
      <c r="A30" s="10"/>
      <c r="B30" s="10"/>
      <c r="C30" s="10" t="s">
        <v>5</v>
      </c>
      <c r="D30" s="24"/>
      <c r="E30" s="24"/>
      <c r="F30" s="25"/>
      <c r="G30" s="25"/>
      <c r="H30" s="26"/>
      <c r="I30" s="73">
        <f>HLOOKUP($C30,'Параметры ПФ'!$F$7:$K$12,6,FALSE)*'Параметры ПФ'!$G$24</f>
        <v>56.64</v>
      </c>
      <c r="J30" s="73">
        <f t="shared" si="1"/>
        <v>0</v>
      </c>
      <c r="K30" s="74">
        <f>IF(J30&lt;'Параметры ПФ'!$J$3+0.01,'Очно-заочные программы'!J30,ROUNDDOWN('Параметры ПФ'!$J$3/IF(H30=0,I30,IF(I30&gt;H30,H30,I30)),0)*IF(H30=0,I30,IF(I30&gt;H30,H30,I30)))</f>
        <v>0</v>
      </c>
      <c r="L30" s="73">
        <f t="shared" si="2"/>
        <v>0</v>
      </c>
      <c r="M30" s="75">
        <f t="shared" si="3"/>
        <v>0</v>
      </c>
    </row>
    <row r="31" spans="1:13">
      <c r="A31" s="10"/>
      <c r="B31" s="10"/>
      <c r="C31" s="10" t="s">
        <v>5</v>
      </c>
      <c r="D31" s="24"/>
      <c r="E31" s="24"/>
      <c r="F31" s="25"/>
      <c r="G31" s="25"/>
      <c r="H31" s="26"/>
      <c r="I31" s="73">
        <f>HLOOKUP($C31,'Параметры ПФ'!$F$7:$K$12,6,FALSE)*'Параметры ПФ'!$G$24</f>
        <v>56.64</v>
      </c>
      <c r="J31" s="73">
        <f t="shared" si="1"/>
        <v>0</v>
      </c>
      <c r="K31" s="74">
        <f>IF(J31&lt;'Параметры ПФ'!$J$3+0.01,'Очно-заочные программы'!J31,ROUNDDOWN('Параметры ПФ'!$J$3/IF(H31=0,I31,IF(I31&gt;H31,H31,I31)),0)*IF(H31=0,I31,IF(I31&gt;H31,H31,I31)))</f>
        <v>0</v>
      </c>
      <c r="L31" s="73">
        <f t="shared" si="2"/>
        <v>0</v>
      </c>
      <c r="M31" s="75">
        <f t="shared" si="3"/>
        <v>0</v>
      </c>
    </row>
    <row r="32" spans="1:13">
      <c r="A32" s="10"/>
      <c r="B32" s="10"/>
      <c r="C32" s="10" t="s">
        <v>5</v>
      </c>
      <c r="D32" s="24"/>
      <c r="E32" s="24"/>
      <c r="F32" s="25"/>
      <c r="G32" s="25"/>
      <c r="H32" s="26"/>
      <c r="I32" s="73">
        <f>HLOOKUP($C32,'Параметры ПФ'!$F$7:$K$12,6,FALSE)*'Параметры ПФ'!$G$24</f>
        <v>56.64</v>
      </c>
      <c r="J32" s="73">
        <f t="shared" si="1"/>
        <v>0</v>
      </c>
      <c r="K32" s="74">
        <f>IF(J32&lt;'Параметры ПФ'!$J$3+0.01,'Очно-заочные программы'!J32,ROUNDDOWN('Параметры ПФ'!$J$3/IF(H32=0,I32,IF(I32&gt;H32,H32,I32)),0)*IF(H32=0,I32,IF(I32&gt;H32,H32,I32)))</f>
        <v>0</v>
      </c>
      <c r="L32" s="73">
        <f t="shared" si="2"/>
        <v>0</v>
      </c>
      <c r="M32" s="75">
        <f t="shared" si="3"/>
        <v>0</v>
      </c>
    </row>
    <row r="33" spans="1:13">
      <c r="A33" s="10"/>
      <c r="B33" s="10"/>
      <c r="C33" s="10" t="s">
        <v>5</v>
      </c>
      <c r="D33" s="24"/>
      <c r="E33" s="24"/>
      <c r="F33" s="25"/>
      <c r="G33" s="25"/>
      <c r="H33" s="26"/>
      <c r="I33" s="73">
        <f>HLOOKUP($C33,'Параметры ПФ'!$F$7:$K$12,6,FALSE)*'Параметры ПФ'!$G$24</f>
        <v>56.64</v>
      </c>
      <c r="J33" s="73">
        <f t="shared" si="1"/>
        <v>0</v>
      </c>
      <c r="K33" s="74">
        <f>IF(J33&lt;'Параметры ПФ'!$J$3+0.01,'Очно-заочные программы'!J33,ROUNDDOWN('Параметры ПФ'!$J$3/IF(H33=0,I33,IF(I33&gt;H33,H33,I33)),0)*IF(H33=0,I33,IF(I33&gt;H33,H33,I33)))</f>
        <v>0</v>
      </c>
      <c r="L33" s="73">
        <f t="shared" si="2"/>
        <v>0</v>
      </c>
      <c r="M33" s="75">
        <f t="shared" si="3"/>
        <v>0</v>
      </c>
    </row>
    <row r="34" spans="1:13">
      <c r="A34" s="10"/>
      <c r="B34" s="10"/>
      <c r="C34" s="10" t="s">
        <v>5</v>
      </c>
      <c r="D34" s="24"/>
      <c r="E34" s="24"/>
      <c r="F34" s="25"/>
      <c r="G34" s="25"/>
      <c r="H34" s="26"/>
      <c r="I34" s="73">
        <f>HLOOKUP($C34,'Параметры ПФ'!$F$7:$K$12,6,FALSE)*'Параметры ПФ'!$G$24</f>
        <v>56.64</v>
      </c>
      <c r="J34" s="73">
        <f t="shared" si="1"/>
        <v>0</v>
      </c>
      <c r="K34" s="74">
        <f>IF(J34&lt;'Параметры ПФ'!$J$3+0.01,'Очно-заочные программы'!J34,ROUNDDOWN('Параметры ПФ'!$J$3/IF(H34=0,I34,IF(I34&gt;H34,H34,I34)),0)*IF(H34=0,I34,IF(I34&gt;H34,H34,I34)))</f>
        <v>0</v>
      </c>
      <c r="L34" s="73">
        <f t="shared" si="2"/>
        <v>0</v>
      </c>
      <c r="M34" s="75">
        <f t="shared" si="3"/>
        <v>0</v>
      </c>
    </row>
    <row r="35" spans="1:13">
      <c r="A35" s="10"/>
      <c r="B35" s="10"/>
      <c r="C35" s="10" t="s">
        <v>5</v>
      </c>
      <c r="D35" s="24"/>
      <c r="E35" s="24"/>
      <c r="F35" s="25"/>
      <c r="G35" s="25"/>
      <c r="H35" s="26"/>
      <c r="I35" s="73">
        <f>HLOOKUP($C35,'Параметры ПФ'!$F$7:$K$12,6,FALSE)*'Параметры ПФ'!$G$24</f>
        <v>56.64</v>
      </c>
      <c r="J35" s="73">
        <f t="shared" si="1"/>
        <v>0</v>
      </c>
      <c r="K35" s="74">
        <f>IF(J35&lt;'Параметры ПФ'!$J$3+0.01,'Очно-заочные программы'!J35,ROUNDDOWN('Параметры ПФ'!$J$3/IF(H35=0,I35,IF(I35&gt;H35,H35,I35)),0)*IF(H35=0,I35,IF(I35&gt;H35,H35,I35)))</f>
        <v>0</v>
      </c>
      <c r="L35" s="73">
        <f t="shared" si="2"/>
        <v>0</v>
      </c>
      <c r="M35" s="75">
        <f t="shared" si="3"/>
        <v>0</v>
      </c>
    </row>
    <row r="36" spans="1:13">
      <c r="A36" s="10"/>
      <c r="B36" s="10"/>
      <c r="C36" s="10" t="s">
        <v>5</v>
      </c>
      <c r="D36" s="24"/>
      <c r="E36" s="24"/>
      <c r="F36" s="25"/>
      <c r="G36" s="25"/>
      <c r="H36" s="26"/>
      <c r="I36" s="73">
        <f>HLOOKUP($C36,'Параметры ПФ'!$F$7:$K$12,6,FALSE)*'Параметры ПФ'!$G$24</f>
        <v>56.64</v>
      </c>
      <c r="J36" s="73">
        <f t="shared" si="1"/>
        <v>0</v>
      </c>
      <c r="K36" s="74">
        <f>IF(J36&lt;'Параметры ПФ'!$J$3+0.01,'Очно-заочные программы'!J36,ROUNDDOWN('Параметры ПФ'!$J$3/IF(H36=0,I36,IF(I36&gt;H36,H36,I36)),0)*IF(H36=0,I36,IF(I36&gt;H36,H36,I36)))</f>
        <v>0</v>
      </c>
      <c r="L36" s="73">
        <f t="shared" si="2"/>
        <v>0</v>
      </c>
      <c r="M36" s="75">
        <f t="shared" si="3"/>
        <v>0</v>
      </c>
    </row>
    <row r="37" spans="1:13">
      <c r="A37" s="10"/>
      <c r="B37" s="10"/>
      <c r="C37" s="10" t="s">
        <v>5</v>
      </c>
      <c r="D37" s="24"/>
      <c r="E37" s="24"/>
      <c r="F37" s="25"/>
      <c r="G37" s="25"/>
      <c r="H37" s="26"/>
      <c r="I37" s="73">
        <f>HLOOKUP($C37,'Параметры ПФ'!$F$7:$K$12,6,FALSE)*'Параметры ПФ'!$G$24</f>
        <v>56.64</v>
      </c>
      <c r="J37" s="73">
        <f t="shared" si="1"/>
        <v>0</v>
      </c>
      <c r="K37" s="74">
        <f>IF(J37&lt;'Параметры ПФ'!$J$3+0.01,'Очно-заочные программы'!J37,ROUNDDOWN('Параметры ПФ'!$J$3/IF(H37=0,I37,IF(I37&gt;H37,H37,I37)),0)*IF(H37=0,I37,IF(I37&gt;H37,H37,I37)))</f>
        <v>0</v>
      </c>
      <c r="L37" s="73">
        <f t="shared" si="2"/>
        <v>0</v>
      </c>
      <c r="M37" s="75">
        <f t="shared" si="3"/>
        <v>0</v>
      </c>
    </row>
    <row r="38" spans="1:13">
      <c r="A38" s="10"/>
      <c r="B38" s="10"/>
      <c r="C38" s="10" t="s">
        <v>5</v>
      </c>
      <c r="D38" s="24"/>
      <c r="E38" s="24"/>
      <c r="F38" s="25"/>
      <c r="G38" s="25"/>
      <c r="H38" s="26"/>
      <c r="I38" s="73">
        <f>HLOOKUP($C38,'Параметры ПФ'!$F$7:$K$12,6,FALSE)*'Параметры ПФ'!$G$24</f>
        <v>56.64</v>
      </c>
      <c r="J38" s="73">
        <f t="shared" si="1"/>
        <v>0</v>
      </c>
      <c r="K38" s="74">
        <f>IF(J38&lt;'Параметры ПФ'!$J$3+0.01,'Очно-заочные программы'!J38,ROUNDDOWN('Параметры ПФ'!$J$3/IF(H38=0,I38,IF(I38&gt;H38,H38,I38)),0)*IF(H38=0,I38,IF(I38&gt;H38,H38,I38)))</f>
        <v>0</v>
      </c>
      <c r="L38" s="73">
        <f t="shared" si="2"/>
        <v>0</v>
      </c>
      <c r="M38" s="75">
        <f t="shared" si="3"/>
        <v>0</v>
      </c>
    </row>
    <row r="39" spans="1:13">
      <c r="A39" s="104"/>
      <c r="B39" s="104"/>
      <c r="C39" s="104"/>
      <c r="D39" s="104"/>
      <c r="E39" s="104"/>
      <c r="F39" s="104"/>
      <c r="G39" s="11">
        <f>SUM(G2:G38)</f>
        <v>0</v>
      </c>
      <c r="H39" s="12" t="s">
        <v>28</v>
      </c>
      <c r="I39" s="76" t="s">
        <v>28</v>
      </c>
      <c r="J39" s="77" t="s">
        <v>28</v>
      </c>
      <c r="K39" s="76" t="s">
        <v>28</v>
      </c>
      <c r="L39" s="78">
        <f>SUM(L2:L38)</f>
        <v>0</v>
      </c>
      <c r="M39" s="79" t="s">
        <v>28</v>
      </c>
    </row>
  </sheetData>
  <mergeCells count="1">
    <mergeCell ref="A39:F39"/>
  </mergeCells>
  <conditionalFormatting sqref="M2:M38">
    <cfRule type="cellIs" dxfId="1" priority="1" operator="greaterThan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workbookViewId="0">
      <selection activeCell="H9" sqref="H9"/>
    </sheetView>
  </sheetViews>
  <sheetFormatPr defaultRowHeight="15.75"/>
  <cols>
    <col min="1" max="2" width="19" customWidth="1"/>
    <col min="3" max="3" width="24.75" customWidth="1"/>
    <col min="8" max="8" width="12.875" customWidth="1"/>
    <col min="10" max="12" width="12.625" customWidth="1"/>
    <col min="13" max="13" width="13.75" customWidth="1"/>
  </cols>
  <sheetData>
    <row r="1" spans="1:13" ht="110.25">
      <c r="A1" s="19" t="s">
        <v>24</v>
      </c>
      <c r="B1" s="19" t="s">
        <v>25</v>
      </c>
      <c r="C1" s="19" t="s">
        <v>7</v>
      </c>
      <c r="D1" s="20" t="s">
        <v>6</v>
      </c>
      <c r="E1" s="20" t="s">
        <v>42</v>
      </c>
      <c r="F1" s="20" t="s">
        <v>29</v>
      </c>
      <c r="G1" s="20" t="s">
        <v>26</v>
      </c>
      <c r="H1" s="21" t="s">
        <v>30</v>
      </c>
      <c r="I1" s="22" t="s">
        <v>27</v>
      </c>
      <c r="J1" s="22" t="s">
        <v>43</v>
      </c>
      <c r="K1" s="37" t="s">
        <v>44</v>
      </c>
      <c r="L1" s="22" t="s">
        <v>34</v>
      </c>
      <c r="M1" s="35" t="s">
        <v>45</v>
      </c>
    </row>
    <row r="2" spans="1:13">
      <c r="A2" s="10"/>
      <c r="B2" s="10"/>
      <c r="C2" s="10" t="s">
        <v>5</v>
      </c>
      <c r="D2" s="24"/>
      <c r="E2" s="24"/>
      <c r="F2" s="25"/>
      <c r="G2" s="25"/>
      <c r="H2" s="26"/>
      <c r="I2" s="85">
        <f>HLOOKUP($C2,'[2]Параметры ПФ'!$F$7:$K$12,6,FALSE)*'[2]Параметры ПФ'!$G$21</f>
        <v>157.72</v>
      </c>
      <c r="J2" s="73">
        <f>IF(H2=0,I2*F2*E2,IF(I2&gt;H2,H2*F2*E2,I2*F2*E2))</f>
        <v>0</v>
      </c>
      <c r="K2" s="74">
        <f>IF(J2&lt;'Параметры ПФ'!$L$3+0.01,'Адаптированные программы'!J2,ROUNDDOWN('Параметры ПФ'!$L$3/IF(H2=0,I2,IF(I2&gt;H2,H2,I2)),0)*IF(H2=0,I2,IF(I2&gt;H2,H2,I2)))</f>
        <v>0</v>
      </c>
      <c r="L2" s="73">
        <f t="shared" ref="L2" si="0">K2*G2</f>
        <v>0</v>
      </c>
      <c r="M2" s="75">
        <f>IF(H2=0,I2*F2*E2,IF(I2&gt;H2,H2*F2*E2,I2*F2*E2))-K2</f>
        <v>0</v>
      </c>
    </row>
    <row r="3" spans="1:13">
      <c r="A3" s="10"/>
      <c r="B3" s="10"/>
      <c r="C3" s="10" t="s">
        <v>5</v>
      </c>
      <c r="D3" s="24"/>
      <c r="E3" s="24"/>
      <c r="F3" s="25"/>
      <c r="G3" s="25"/>
      <c r="H3" s="26"/>
      <c r="I3" s="73">
        <f>HLOOKUP($C3,'Параметры ПФ'!$F$7:$K$12,6,FALSE)*'Параметры ПФ'!$G$21</f>
        <v>56.64</v>
      </c>
      <c r="J3" s="73">
        <f t="shared" ref="J3:J38" si="1">IF(H3=0,I3*F3*E3,IF(I3&gt;H3,H3*F3*E3,I3*F3*E3))</f>
        <v>0</v>
      </c>
      <c r="K3" s="74">
        <f>IF(J3&lt;'Параметры ПФ'!$L$3+0.01,'Адаптированные программы'!J3,ROUNDDOWN('Параметры ПФ'!$L$3/IF(H3=0,I3,IF(I3&gt;H3,H3,I3)),0)*IF(H3=0,I3,IF(I3&gt;H3,H3,I3)))</f>
        <v>0</v>
      </c>
      <c r="L3" s="73">
        <f t="shared" ref="L3:L38" si="2">K3*G3</f>
        <v>0</v>
      </c>
      <c r="M3" s="75">
        <f t="shared" ref="M3:M4" si="3">IF(H3=0,I3*F3*E3,IF(I3&gt;H3,H3*F3*E3,I3*F3*E3))-K3</f>
        <v>0</v>
      </c>
    </row>
    <row r="4" spans="1:13">
      <c r="A4" s="10"/>
      <c r="B4" s="10"/>
      <c r="C4" s="10" t="s">
        <v>5</v>
      </c>
      <c r="D4" s="24"/>
      <c r="E4" s="24"/>
      <c r="F4" s="25"/>
      <c r="G4" s="25"/>
      <c r="H4" s="26"/>
      <c r="I4" s="73">
        <f>HLOOKUP($C4,'Параметры ПФ'!$F$7:$K$12,6,FALSE)*'Параметры ПФ'!$G$21</f>
        <v>56.64</v>
      </c>
      <c r="J4" s="73">
        <f t="shared" si="1"/>
        <v>0</v>
      </c>
      <c r="K4" s="74">
        <f>IF(J4&lt;'Параметры ПФ'!$L$3+0.01,'Адаптированные программы'!J4,ROUNDDOWN('Параметры ПФ'!$L$3/IF(H4=0,I4,IF(I4&gt;H4,H4,I4)),0)*IF(H4=0,I4,IF(I4&gt;H4,H4,I4)))</f>
        <v>0</v>
      </c>
      <c r="L4" s="73">
        <f t="shared" si="2"/>
        <v>0</v>
      </c>
      <c r="M4" s="75">
        <f t="shared" si="3"/>
        <v>0</v>
      </c>
    </row>
    <row r="5" spans="1:13">
      <c r="A5" s="10"/>
      <c r="B5" s="10"/>
      <c r="C5" s="10" t="s">
        <v>5</v>
      </c>
      <c r="D5" s="24"/>
      <c r="E5" s="24"/>
      <c r="F5" s="25"/>
      <c r="G5" s="25"/>
      <c r="H5" s="26"/>
      <c r="I5" s="73">
        <f>HLOOKUP($C5,'Параметры ПФ'!$F$7:$K$12,6,FALSE)*'Параметры ПФ'!$G$21</f>
        <v>56.64</v>
      </c>
      <c r="J5" s="73">
        <f t="shared" si="1"/>
        <v>0</v>
      </c>
      <c r="K5" s="74">
        <f>IF(J5&lt;'Параметры ПФ'!$L$3+0.01,'Адаптированные программы'!J5,ROUNDDOWN('Параметры ПФ'!$L$3/IF(H5=0,I5,IF(I5&gt;H5,H5,I5)),0)*IF(H5=0,I5,IF(I5&gt;H5,H5,I5)))</f>
        <v>0</v>
      </c>
      <c r="L5" s="73">
        <f t="shared" si="2"/>
        <v>0</v>
      </c>
      <c r="M5" s="75">
        <f t="shared" ref="M5:M38" si="4">IF(H5=0,I5*F5*E5,IF(I5&gt;H5,H5*F5*E5,I5*F5*E5))-K5</f>
        <v>0</v>
      </c>
    </row>
    <row r="6" spans="1:13">
      <c r="A6" s="10"/>
      <c r="B6" s="10"/>
      <c r="C6" s="10" t="s">
        <v>5</v>
      </c>
      <c r="D6" s="24"/>
      <c r="E6" s="24"/>
      <c r="F6" s="25"/>
      <c r="G6" s="25"/>
      <c r="H6" s="26"/>
      <c r="I6" s="73">
        <f>HLOOKUP($C6,'Параметры ПФ'!$F$7:$K$12,6,FALSE)*'Параметры ПФ'!$G$21</f>
        <v>56.64</v>
      </c>
      <c r="J6" s="73">
        <f t="shared" si="1"/>
        <v>0</v>
      </c>
      <c r="K6" s="74">
        <f>IF(J6&lt;'Параметры ПФ'!$L$3+0.01,'Адаптированные программы'!J6,ROUNDDOWN('Параметры ПФ'!$L$3/IF(H6=0,I6,IF(I6&gt;H6,H6,I6)),0)*IF(H6=0,I6,IF(I6&gt;H6,H6,I6)))</f>
        <v>0</v>
      </c>
      <c r="L6" s="73">
        <f t="shared" si="2"/>
        <v>0</v>
      </c>
      <c r="M6" s="75">
        <f t="shared" si="4"/>
        <v>0</v>
      </c>
    </row>
    <row r="7" spans="1:13">
      <c r="A7" s="10"/>
      <c r="B7" s="10"/>
      <c r="C7" s="10" t="s">
        <v>5</v>
      </c>
      <c r="D7" s="24"/>
      <c r="E7" s="24"/>
      <c r="F7" s="25"/>
      <c r="G7" s="25"/>
      <c r="H7" s="26"/>
      <c r="I7" s="73">
        <f>HLOOKUP($C7,'Параметры ПФ'!$F$7:$K$12,6,FALSE)*'Параметры ПФ'!$G$21</f>
        <v>56.64</v>
      </c>
      <c r="J7" s="73">
        <f t="shared" si="1"/>
        <v>0</v>
      </c>
      <c r="K7" s="74">
        <f>IF(J7&lt;'Параметры ПФ'!$L$3+0.01,'Адаптированные программы'!J7,ROUNDDOWN('Параметры ПФ'!$L$3/IF(H7=0,I7,IF(I7&gt;H7,H7,I7)),0)*IF(H7=0,I7,IF(I7&gt;H7,H7,I7)))</f>
        <v>0</v>
      </c>
      <c r="L7" s="73">
        <f t="shared" si="2"/>
        <v>0</v>
      </c>
      <c r="M7" s="75">
        <f t="shared" si="4"/>
        <v>0</v>
      </c>
    </row>
    <row r="8" spans="1:13">
      <c r="A8" s="10"/>
      <c r="B8" s="10"/>
      <c r="C8" s="10" t="s">
        <v>5</v>
      </c>
      <c r="D8" s="24"/>
      <c r="E8" s="24"/>
      <c r="F8" s="25"/>
      <c r="G8" s="25"/>
      <c r="H8" s="26"/>
      <c r="I8" s="73">
        <f>HLOOKUP($C8,'Параметры ПФ'!$F$7:$K$12,6,FALSE)*'Параметры ПФ'!$G$21</f>
        <v>56.64</v>
      </c>
      <c r="J8" s="73">
        <f t="shared" si="1"/>
        <v>0</v>
      </c>
      <c r="K8" s="74">
        <f>IF(J8&lt;'Параметры ПФ'!$L$3+0.01,'Адаптированные программы'!J8,ROUNDDOWN('Параметры ПФ'!$L$3/IF(H8=0,I8,IF(I8&gt;H8,H8,I8)),0)*IF(H8=0,I8,IF(I8&gt;H8,H8,I8)))</f>
        <v>0</v>
      </c>
      <c r="L8" s="73">
        <f t="shared" si="2"/>
        <v>0</v>
      </c>
      <c r="M8" s="75">
        <f t="shared" si="4"/>
        <v>0</v>
      </c>
    </row>
    <row r="9" spans="1:13">
      <c r="A9" s="10"/>
      <c r="B9" s="10"/>
      <c r="C9" s="10" t="s">
        <v>5</v>
      </c>
      <c r="D9" s="24"/>
      <c r="E9" s="24"/>
      <c r="F9" s="25"/>
      <c r="G9" s="25"/>
      <c r="H9" s="26"/>
      <c r="I9" s="73">
        <f>HLOOKUP($C9,'Параметры ПФ'!$F$7:$K$12,6,FALSE)*'Параметры ПФ'!$G$21</f>
        <v>56.64</v>
      </c>
      <c r="J9" s="73">
        <f t="shared" si="1"/>
        <v>0</v>
      </c>
      <c r="K9" s="74">
        <f>IF(J9&lt;'Параметры ПФ'!$L$3+0.01,'Адаптированные программы'!J9,ROUNDDOWN('Параметры ПФ'!$L$3/IF(H9=0,I9,IF(I9&gt;H9,H9,I9)),0)*IF(H9=0,I9,IF(I9&gt;H9,H9,I9)))</f>
        <v>0</v>
      </c>
      <c r="L9" s="73">
        <f t="shared" si="2"/>
        <v>0</v>
      </c>
      <c r="M9" s="75">
        <f t="shared" si="4"/>
        <v>0</v>
      </c>
    </row>
    <row r="10" spans="1:13">
      <c r="A10" s="10"/>
      <c r="B10" s="10"/>
      <c r="C10" s="10" t="s">
        <v>5</v>
      </c>
      <c r="D10" s="24"/>
      <c r="E10" s="24"/>
      <c r="F10" s="25"/>
      <c r="G10" s="25"/>
      <c r="H10" s="26"/>
      <c r="I10" s="73">
        <f>HLOOKUP($C10,'Параметры ПФ'!$F$7:$K$12,6,FALSE)*'Параметры ПФ'!$G$21</f>
        <v>56.64</v>
      </c>
      <c r="J10" s="73">
        <f t="shared" si="1"/>
        <v>0</v>
      </c>
      <c r="K10" s="74">
        <f>IF(J10&lt;'Параметры ПФ'!$L$3+0.01,'Адаптированные программы'!J10,ROUNDDOWN('Параметры ПФ'!$L$3/IF(H10=0,I10,IF(I10&gt;H10,H10,I10)),0)*IF(H10=0,I10,IF(I10&gt;H10,H10,I10)))</f>
        <v>0</v>
      </c>
      <c r="L10" s="73">
        <f t="shared" si="2"/>
        <v>0</v>
      </c>
      <c r="M10" s="75">
        <f t="shared" si="4"/>
        <v>0</v>
      </c>
    </row>
    <row r="11" spans="1:13">
      <c r="A11" s="10"/>
      <c r="B11" s="10"/>
      <c r="C11" s="10" t="s">
        <v>5</v>
      </c>
      <c r="D11" s="24"/>
      <c r="E11" s="24"/>
      <c r="F11" s="25"/>
      <c r="G11" s="25"/>
      <c r="H11" s="26"/>
      <c r="I11" s="73">
        <f>HLOOKUP($C11,'Параметры ПФ'!$F$7:$K$12,6,FALSE)*'Параметры ПФ'!$G$21</f>
        <v>56.64</v>
      </c>
      <c r="J11" s="73">
        <f t="shared" si="1"/>
        <v>0</v>
      </c>
      <c r="K11" s="74">
        <f>IF(J11&lt;'Параметры ПФ'!$L$3+0.01,'Адаптированные программы'!J11,ROUNDDOWN('Параметры ПФ'!$L$3/IF(H11=0,I11,IF(I11&gt;H11,H11,I11)),0)*IF(H11=0,I11,IF(I11&gt;H11,H11,I11)))</f>
        <v>0</v>
      </c>
      <c r="L11" s="73">
        <f t="shared" si="2"/>
        <v>0</v>
      </c>
      <c r="M11" s="75">
        <f t="shared" si="4"/>
        <v>0</v>
      </c>
    </row>
    <row r="12" spans="1:13">
      <c r="A12" s="10"/>
      <c r="B12" s="10"/>
      <c r="C12" s="10" t="s">
        <v>5</v>
      </c>
      <c r="D12" s="24"/>
      <c r="E12" s="24"/>
      <c r="F12" s="25"/>
      <c r="G12" s="25"/>
      <c r="H12" s="26"/>
      <c r="I12" s="73">
        <f>HLOOKUP($C12,'Параметры ПФ'!$F$7:$K$12,6,FALSE)*'Параметры ПФ'!$G$21</f>
        <v>56.64</v>
      </c>
      <c r="J12" s="73">
        <f t="shared" si="1"/>
        <v>0</v>
      </c>
      <c r="K12" s="74">
        <f>IF(J12&lt;'Параметры ПФ'!$L$3+0.01,'Адаптированные программы'!J12,ROUNDDOWN('Параметры ПФ'!$L$3/IF(H12=0,I12,IF(I12&gt;H12,H12,I12)),0)*IF(H12=0,I12,IF(I12&gt;H12,H12,I12)))</f>
        <v>0</v>
      </c>
      <c r="L12" s="73">
        <f t="shared" si="2"/>
        <v>0</v>
      </c>
      <c r="M12" s="75">
        <f t="shared" si="4"/>
        <v>0</v>
      </c>
    </row>
    <row r="13" spans="1:13">
      <c r="A13" s="10"/>
      <c r="B13" s="10"/>
      <c r="C13" s="10" t="s">
        <v>5</v>
      </c>
      <c r="D13" s="24"/>
      <c r="E13" s="24"/>
      <c r="F13" s="25"/>
      <c r="G13" s="25"/>
      <c r="H13" s="26"/>
      <c r="I13" s="73">
        <f>HLOOKUP($C13,'Параметры ПФ'!$F$7:$K$12,6,FALSE)*'Параметры ПФ'!$G$21</f>
        <v>56.64</v>
      </c>
      <c r="J13" s="73">
        <f t="shared" si="1"/>
        <v>0</v>
      </c>
      <c r="K13" s="74">
        <f>IF(J13&lt;'Параметры ПФ'!$L$3+0.01,'Адаптированные программы'!J13,ROUNDDOWN('Параметры ПФ'!$L$3/IF(H13=0,I13,IF(I13&gt;H13,H13,I13)),0)*IF(H13=0,I13,IF(I13&gt;H13,H13,I13)))</f>
        <v>0</v>
      </c>
      <c r="L13" s="73">
        <f t="shared" si="2"/>
        <v>0</v>
      </c>
      <c r="M13" s="75">
        <f t="shared" si="4"/>
        <v>0</v>
      </c>
    </row>
    <row r="14" spans="1:13">
      <c r="A14" s="10"/>
      <c r="B14" s="10"/>
      <c r="C14" s="10" t="s">
        <v>5</v>
      </c>
      <c r="D14" s="24"/>
      <c r="E14" s="24"/>
      <c r="F14" s="25"/>
      <c r="G14" s="25"/>
      <c r="H14" s="26"/>
      <c r="I14" s="73">
        <f>HLOOKUP($C14,'Параметры ПФ'!$F$7:$K$12,6,FALSE)*'Параметры ПФ'!$G$21</f>
        <v>56.64</v>
      </c>
      <c r="J14" s="73">
        <f t="shared" si="1"/>
        <v>0</v>
      </c>
      <c r="K14" s="74">
        <f>IF(J14&lt;'Параметры ПФ'!$L$3+0.01,'Адаптированные программы'!J14,ROUNDDOWN('Параметры ПФ'!$L$3/IF(H14=0,I14,IF(I14&gt;H14,H14,I14)),0)*IF(H14=0,I14,IF(I14&gt;H14,H14,I14)))</f>
        <v>0</v>
      </c>
      <c r="L14" s="73">
        <f t="shared" si="2"/>
        <v>0</v>
      </c>
      <c r="M14" s="75">
        <f t="shared" si="4"/>
        <v>0</v>
      </c>
    </row>
    <row r="15" spans="1:13">
      <c r="A15" s="10"/>
      <c r="B15" s="10"/>
      <c r="C15" s="10" t="s">
        <v>5</v>
      </c>
      <c r="D15" s="24"/>
      <c r="E15" s="24"/>
      <c r="F15" s="25"/>
      <c r="G15" s="25"/>
      <c r="H15" s="26"/>
      <c r="I15" s="73">
        <f>HLOOKUP($C15,'Параметры ПФ'!$F$7:$K$12,6,FALSE)*'Параметры ПФ'!$G$21</f>
        <v>56.64</v>
      </c>
      <c r="J15" s="73">
        <f t="shared" si="1"/>
        <v>0</v>
      </c>
      <c r="K15" s="74">
        <f>IF(J15&lt;'Параметры ПФ'!$L$3+0.01,'Адаптированные программы'!J15,ROUNDDOWN('Параметры ПФ'!$L$3/IF(H15=0,I15,IF(I15&gt;H15,H15,I15)),0)*IF(H15=0,I15,IF(I15&gt;H15,H15,I15)))</f>
        <v>0</v>
      </c>
      <c r="L15" s="73">
        <f t="shared" si="2"/>
        <v>0</v>
      </c>
      <c r="M15" s="75">
        <f t="shared" si="4"/>
        <v>0</v>
      </c>
    </row>
    <row r="16" spans="1:13">
      <c r="A16" s="10"/>
      <c r="B16" s="10"/>
      <c r="C16" s="10" t="s">
        <v>5</v>
      </c>
      <c r="D16" s="24"/>
      <c r="E16" s="24"/>
      <c r="F16" s="25"/>
      <c r="G16" s="25"/>
      <c r="H16" s="26"/>
      <c r="I16" s="73">
        <f>HLOOKUP($C16,'Параметры ПФ'!$F$7:$K$12,6,FALSE)*'Параметры ПФ'!$G$21</f>
        <v>56.64</v>
      </c>
      <c r="J16" s="73">
        <f t="shared" si="1"/>
        <v>0</v>
      </c>
      <c r="K16" s="74">
        <f>IF(J16&lt;'Параметры ПФ'!$L$3+0.01,'Адаптированные программы'!J16,ROUNDDOWN('Параметры ПФ'!$L$3/IF(H16=0,I16,IF(I16&gt;H16,H16,I16)),0)*IF(H16=0,I16,IF(I16&gt;H16,H16,I16)))</f>
        <v>0</v>
      </c>
      <c r="L16" s="73">
        <f t="shared" si="2"/>
        <v>0</v>
      </c>
      <c r="M16" s="75">
        <f t="shared" si="4"/>
        <v>0</v>
      </c>
    </row>
    <row r="17" spans="1:13">
      <c r="A17" s="10"/>
      <c r="B17" s="10"/>
      <c r="C17" s="10" t="s">
        <v>5</v>
      </c>
      <c r="D17" s="24"/>
      <c r="E17" s="24"/>
      <c r="F17" s="25"/>
      <c r="G17" s="25"/>
      <c r="H17" s="26"/>
      <c r="I17" s="73">
        <f>HLOOKUP($C17,'Параметры ПФ'!$F$7:$K$12,6,FALSE)*'Параметры ПФ'!$G$21</f>
        <v>56.64</v>
      </c>
      <c r="J17" s="73">
        <f t="shared" si="1"/>
        <v>0</v>
      </c>
      <c r="K17" s="74">
        <f>IF(J17&lt;'Параметры ПФ'!$L$3+0.01,'Адаптированные программы'!J17,ROUNDDOWN('Параметры ПФ'!$L$3/IF(H17=0,I17,IF(I17&gt;H17,H17,I17)),0)*IF(H17=0,I17,IF(I17&gt;H17,H17,I17)))</f>
        <v>0</v>
      </c>
      <c r="L17" s="73">
        <f t="shared" si="2"/>
        <v>0</v>
      </c>
      <c r="M17" s="75">
        <f t="shared" si="4"/>
        <v>0</v>
      </c>
    </row>
    <row r="18" spans="1:13">
      <c r="A18" s="10"/>
      <c r="B18" s="10"/>
      <c r="C18" s="10" t="s">
        <v>5</v>
      </c>
      <c r="D18" s="24"/>
      <c r="E18" s="24"/>
      <c r="F18" s="25"/>
      <c r="G18" s="25"/>
      <c r="H18" s="26"/>
      <c r="I18" s="73">
        <f>HLOOKUP($C18,'Параметры ПФ'!$F$7:$K$12,6,FALSE)*'Параметры ПФ'!$G$21</f>
        <v>56.64</v>
      </c>
      <c r="J18" s="73">
        <f t="shared" si="1"/>
        <v>0</v>
      </c>
      <c r="K18" s="74">
        <f>IF(J18&lt;'Параметры ПФ'!$L$3+0.01,'Адаптированные программы'!J18,ROUNDDOWN('Параметры ПФ'!$L$3/IF(H18=0,I18,IF(I18&gt;H18,H18,I18)),0)*IF(H18=0,I18,IF(I18&gt;H18,H18,I18)))</f>
        <v>0</v>
      </c>
      <c r="L18" s="73">
        <f t="shared" si="2"/>
        <v>0</v>
      </c>
      <c r="M18" s="75">
        <f t="shared" si="4"/>
        <v>0</v>
      </c>
    </row>
    <row r="19" spans="1:13">
      <c r="A19" s="10"/>
      <c r="B19" s="10"/>
      <c r="C19" s="10" t="s">
        <v>5</v>
      </c>
      <c r="D19" s="24"/>
      <c r="E19" s="24"/>
      <c r="F19" s="25"/>
      <c r="G19" s="25"/>
      <c r="H19" s="26"/>
      <c r="I19" s="73">
        <f>HLOOKUP($C19,'Параметры ПФ'!$F$7:$K$12,6,FALSE)*'Параметры ПФ'!$G$21</f>
        <v>56.64</v>
      </c>
      <c r="J19" s="73">
        <f t="shared" si="1"/>
        <v>0</v>
      </c>
      <c r="K19" s="74">
        <f>IF(J19&lt;'Параметры ПФ'!$L$3+0.01,'Адаптированные программы'!J19,ROUNDDOWN('Параметры ПФ'!$L$3/IF(H19=0,I19,IF(I19&gt;H19,H19,I19)),0)*IF(H19=0,I19,IF(I19&gt;H19,H19,I19)))</f>
        <v>0</v>
      </c>
      <c r="L19" s="73">
        <f t="shared" si="2"/>
        <v>0</v>
      </c>
      <c r="M19" s="75">
        <f t="shared" si="4"/>
        <v>0</v>
      </c>
    </row>
    <row r="20" spans="1:13">
      <c r="A20" s="10"/>
      <c r="B20" s="10"/>
      <c r="C20" s="10" t="s">
        <v>5</v>
      </c>
      <c r="D20" s="24"/>
      <c r="E20" s="24"/>
      <c r="F20" s="25"/>
      <c r="G20" s="25"/>
      <c r="H20" s="26"/>
      <c r="I20" s="73">
        <f>HLOOKUP($C20,'Параметры ПФ'!$F$7:$K$12,6,FALSE)*'Параметры ПФ'!$G$21</f>
        <v>56.64</v>
      </c>
      <c r="J20" s="73">
        <f t="shared" si="1"/>
        <v>0</v>
      </c>
      <c r="K20" s="74">
        <f>IF(J20&lt;'Параметры ПФ'!$L$3+0.01,'Адаптированные программы'!J20,ROUNDDOWN('Параметры ПФ'!$L$3/IF(H20=0,I20,IF(I20&gt;H20,H20,I20)),0)*IF(H20=0,I20,IF(I20&gt;H20,H20,I20)))</f>
        <v>0</v>
      </c>
      <c r="L20" s="73">
        <f t="shared" si="2"/>
        <v>0</v>
      </c>
      <c r="M20" s="75">
        <f t="shared" si="4"/>
        <v>0</v>
      </c>
    </row>
    <row r="21" spans="1:13">
      <c r="A21" s="10"/>
      <c r="B21" s="10"/>
      <c r="C21" s="10" t="s">
        <v>5</v>
      </c>
      <c r="D21" s="24"/>
      <c r="E21" s="24"/>
      <c r="F21" s="25"/>
      <c r="G21" s="25"/>
      <c r="H21" s="26"/>
      <c r="I21" s="73">
        <f>HLOOKUP($C21,'Параметры ПФ'!$F$7:$K$12,6,FALSE)*'Параметры ПФ'!$G$21</f>
        <v>56.64</v>
      </c>
      <c r="J21" s="73">
        <f t="shared" si="1"/>
        <v>0</v>
      </c>
      <c r="K21" s="74">
        <f>IF(J21&lt;'Параметры ПФ'!$L$3+0.01,'Адаптированные программы'!J21,ROUNDDOWN('Параметры ПФ'!$L$3/IF(H21=0,I21,IF(I21&gt;H21,H21,I21)),0)*IF(H21=0,I21,IF(I21&gt;H21,H21,I21)))</f>
        <v>0</v>
      </c>
      <c r="L21" s="73">
        <f t="shared" si="2"/>
        <v>0</v>
      </c>
      <c r="M21" s="75">
        <f t="shared" si="4"/>
        <v>0</v>
      </c>
    </row>
    <row r="22" spans="1:13">
      <c r="A22" s="10"/>
      <c r="B22" s="10"/>
      <c r="C22" s="10" t="s">
        <v>5</v>
      </c>
      <c r="D22" s="24"/>
      <c r="E22" s="24"/>
      <c r="F22" s="25"/>
      <c r="G22" s="25"/>
      <c r="H22" s="26"/>
      <c r="I22" s="73">
        <f>HLOOKUP($C22,'Параметры ПФ'!$F$7:$K$12,6,FALSE)*'Параметры ПФ'!$G$21</f>
        <v>56.64</v>
      </c>
      <c r="J22" s="73">
        <f t="shared" si="1"/>
        <v>0</v>
      </c>
      <c r="K22" s="74">
        <f>IF(J22&lt;'Параметры ПФ'!$L$3+0.01,'Адаптированные программы'!J22,ROUNDDOWN('Параметры ПФ'!$L$3/IF(H22=0,I22,IF(I22&gt;H22,H22,I22)),0)*IF(H22=0,I22,IF(I22&gt;H22,H22,I22)))</f>
        <v>0</v>
      </c>
      <c r="L22" s="73">
        <f t="shared" si="2"/>
        <v>0</v>
      </c>
      <c r="M22" s="75">
        <f t="shared" si="4"/>
        <v>0</v>
      </c>
    </row>
    <row r="23" spans="1:13">
      <c r="A23" s="10"/>
      <c r="B23" s="10"/>
      <c r="C23" s="10" t="s">
        <v>5</v>
      </c>
      <c r="D23" s="24"/>
      <c r="E23" s="24"/>
      <c r="F23" s="25"/>
      <c r="G23" s="25"/>
      <c r="H23" s="26"/>
      <c r="I23" s="73">
        <f>HLOOKUP($C23,'Параметры ПФ'!$F$7:$K$12,6,FALSE)*'Параметры ПФ'!$G$21</f>
        <v>56.64</v>
      </c>
      <c r="J23" s="73">
        <f t="shared" si="1"/>
        <v>0</v>
      </c>
      <c r="K23" s="74">
        <f>IF(J23&lt;'Параметры ПФ'!$L$3+0.01,'Адаптированные программы'!J23,ROUNDDOWN('Параметры ПФ'!$L$3/IF(H23=0,I23,IF(I23&gt;H23,H23,I23)),0)*IF(H23=0,I23,IF(I23&gt;H23,H23,I23)))</f>
        <v>0</v>
      </c>
      <c r="L23" s="73">
        <f t="shared" si="2"/>
        <v>0</v>
      </c>
      <c r="M23" s="75">
        <f t="shared" si="4"/>
        <v>0</v>
      </c>
    </row>
    <row r="24" spans="1:13">
      <c r="A24" s="10"/>
      <c r="B24" s="10"/>
      <c r="C24" s="10" t="s">
        <v>5</v>
      </c>
      <c r="D24" s="24"/>
      <c r="E24" s="24"/>
      <c r="F24" s="25"/>
      <c r="G24" s="25"/>
      <c r="H24" s="26"/>
      <c r="I24" s="73">
        <f>HLOOKUP($C24,'Параметры ПФ'!$F$7:$K$12,6,FALSE)*'Параметры ПФ'!$G$21</f>
        <v>56.64</v>
      </c>
      <c r="J24" s="73">
        <f t="shared" si="1"/>
        <v>0</v>
      </c>
      <c r="K24" s="74">
        <f>IF(J24&lt;'Параметры ПФ'!$L$3+0.01,'Адаптированные программы'!J24,ROUNDDOWN('Параметры ПФ'!$L$3/IF(H24=0,I24,IF(I24&gt;H24,H24,I24)),0)*IF(H24=0,I24,IF(I24&gt;H24,H24,I24)))</f>
        <v>0</v>
      </c>
      <c r="L24" s="73">
        <f t="shared" si="2"/>
        <v>0</v>
      </c>
      <c r="M24" s="75">
        <f t="shared" si="4"/>
        <v>0</v>
      </c>
    </row>
    <row r="25" spans="1:13">
      <c r="A25" s="10"/>
      <c r="B25" s="10"/>
      <c r="C25" s="10" t="s">
        <v>5</v>
      </c>
      <c r="D25" s="24"/>
      <c r="E25" s="24"/>
      <c r="F25" s="25"/>
      <c r="G25" s="25"/>
      <c r="H25" s="26"/>
      <c r="I25" s="73">
        <f>HLOOKUP($C25,'Параметры ПФ'!$F$7:$K$12,6,FALSE)*'Параметры ПФ'!$G$21</f>
        <v>56.64</v>
      </c>
      <c r="J25" s="73">
        <f t="shared" si="1"/>
        <v>0</v>
      </c>
      <c r="K25" s="74">
        <f>IF(J25&lt;'Параметры ПФ'!$L$3+0.01,'Адаптированные программы'!J25,ROUNDDOWN('Параметры ПФ'!$L$3/IF(H25=0,I25,IF(I25&gt;H25,H25,I25)),0)*IF(H25=0,I25,IF(I25&gt;H25,H25,I25)))</f>
        <v>0</v>
      </c>
      <c r="L25" s="73">
        <f t="shared" si="2"/>
        <v>0</v>
      </c>
      <c r="M25" s="75">
        <f t="shared" si="4"/>
        <v>0</v>
      </c>
    </row>
    <row r="26" spans="1:13">
      <c r="A26" s="10"/>
      <c r="B26" s="10"/>
      <c r="C26" s="10" t="s">
        <v>5</v>
      </c>
      <c r="D26" s="24"/>
      <c r="E26" s="24"/>
      <c r="F26" s="25"/>
      <c r="G26" s="25"/>
      <c r="H26" s="26"/>
      <c r="I26" s="73">
        <f>HLOOKUP($C26,'Параметры ПФ'!$F$7:$K$12,6,FALSE)*'Параметры ПФ'!$G$21</f>
        <v>56.64</v>
      </c>
      <c r="J26" s="73">
        <f t="shared" si="1"/>
        <v>0</v>
      </c>
      <c r="K26" s="74">
        <f>IF(J26&lt;'Параметры ПФ'!$L$3+0.01,'Адаптированные программы'!J26,ROUNDDOWN('Параметры ПФ'!$L$3/IF(H26=0,I26,IF(I26&gt;H26,H26,I26)),0)*IF(H26=0,I26,IF(I26&gt;H26,H26,I26)))</f>
        <v>0</v>
      </c>
      <c r="L26" s="73">
        <f t="shared" si="2"/>
        <v>0</v>
      </c>
      <c r="M26" s="75">
        <f t="shared" si="4"/>
        <v>0</v>
      </c>
    </row>
    <row r="27" spans="1:13">
      <c r="A27" s="10"/>
      <c r="B27" s="10"/>
      <c r="C27" s="10" t="s">
        <v>5</v>
      </c>
      <c r="D27" s="24"/>
      <c r="E27" s="24"/>
      <c r="F27" s="25"/>
      <c r="G27" s="25"/>
      <c r="H27" s="26"/>
      <c r="I27" s="73">
        <f>HLOOKUP($C27,'Параметры ПФ'!$F$7:$K$12,6,FALSE)*'Параметры ПФ'!$G$21</f>
        <v>56.64</v>
      </c>
      <c r="J27" s="73">
        <f t="shared" si="1"/>
        <v>0</v>
      </c>
      <c r="K27" s="74">
        <f>IF(J27&lt;'Параметры ПФ'!$L$3+0.01,'Адаптированные программы'!J27,ROUNDDOWN('Параметры ПФ'!$L$3/IF(H27=0,I27,IF(I27&gt;H27,H27,I27)),0)*IF(H27=0,I27,IF(I27&gt;H27,H27,I27)))</f>
        <v>0</v>
      </c>
      <c r="L27" s="73">
        <f t="shared" si="2"/>
        <v>0</v>
      </c>
      <c r="M27" s="75">
        <f t="shared" si="4"/>
        <v>0</v>
      </c>
    </row>
    <row r="28" spans="1:13">
      <c r="A28" s="10"/>
      <c r="B28" s="10"/>
      <c r="C28" s="10" t="s">
        <v>5</v>
      </c>
      <c r="D28" s="24"/>
      <c r="E28" s="24"/>
      <c r="F28" s="25"/>
      <c r="G28" s="25"/>
      <c r="H28" s="26"/>
      <c r="I28" s="73">
        <f>HLOOKUP($C28,'Параметры ПФ'!$F$7:$K$12,6,FALSE)*'Параметры ПФ'!$G$21</f>
        <v>56.64</v>
      </c>
      <c r="J28" s="73">
        <f t="shared" si="1"/>
        <v>0</v>
      </c>
      <c r="K28" s="74">
        <f>IF(J28&lt;'Параметры ПФ'!$L$3+0.01,'Адаптированные программы'!J28,ROUNDDOWN('Параметры ПФ'!$L$3/IF(H28=0,I28,IF(I28&gt;H28,H28,I28)),0)*IF(H28=0,I28,IF(I28&gt;H28,H28,I28)))</f>
        <v>0</v>
      </c>
      <c r="L28" s="73">
        <f t="shared" si="2"/>
        <v>0</v>
      </c>
      <c r="M28" s="75">
        <f t="shared" si="4"/>
        <v>0</v>
      </c>
    </row>
    <row r="29" spans="1:13">
      <c r="A29" s="10"/>
      <c r="B29" s="10"/>
      <c r="C29" s="10" t="s">
        <v>5</v>
      </c>
      <c r="D29" s="24"/>
      <c r="E29" s="24"/>
      <c r="F29" s="25"/>
      <c r="G29" s="25"/>
      <c r="H29" s="26"/>
      <c r="I29" s="73">
        <f>HLOOKUP($C29,'Параметры ПФ'!$F$7:$K$12,6,FALSE)*'Параметры ПФ'!$G$21</f>
        <v>56.64</v>
      </c>
      <c r="J29" s="73">
        <f t="shared" si="1"/>
        <v>0</v>
      </c>
      <c r="K29" s="74">
        <f>IF(J29&lt;'Параметры ПФ'!$L$3+0.01,'Адаптированные программы'!J29,ROUNDDOWN('Параметры ПФ'!$L$3/IF(H29=0,I29,IF(I29&gt;H29,H29,I29)),0)*IF(H29=0,I29,IF(I29&gt;H29,H29,I29)))</f>
        <v>0</v>
      </c>
      <c r="L29" s="73">
        <f t="shared" si="2"/>
        <v>0</v>
      </c>
      <c r="M29" s="75">
        <f t="shared" si="4"/>
        <v>0</v>
      </c>
    </row>
    <row r="30" spans="1:13">
      <c r="A30" s="10"/>
      <c r="B30" s="10"/>
      <c r="C30" s="10" t="s">
        <v>5</v>
      </c>
      <c r="D30" s="24"/>
      <c r="E30" s="24"/>
      <c r="F30" s="25"/>
      <c r="G30" s="25"/>
      <c r="H30" s="26"/>
      <c r="I30" s="73">
        <f>HLOOKUP($C30,'Параметры ПФ'!$F$7:$K$12,6,FALSE)*'Параметры ПФ'!$G$21</f>
        <v>56.64</v>
      </c>
      <c r="J30" s="73">
        <f t="shared" si="1"/>
        <v>0</v>
      </c>
      <c r="K30" s="74">
        <f>IF(J30&lt;'Параметры ПФ'!$L$3+0.01,'Адаптированные программы'!J30,ROUNDDOWN('Параметры ПФ'!$L$3/IF(H30=0,I30,IF(I30&gt;H30,H30,I30)),0)*IF(H30=0,I30,IF(I30&gt;H30,H30,I30)))</f>
        <v>0</v>
      </c>
      <c r="L30" s="73">
        <f t="shared" si="2"/>
        <v>0</v>
      </c>
      <c r="M30" s="75">
        <f t="shared" si="4"/>
        <v>0</v>
      </c>
    </row>
    <row r="31" spans="1:13">
      <c r="A31" s="10"/>
      <c r="B31" s="10"/>
      <c r="C31" s="10" t="s">
        <v>5</v>
      </c>
      <c r="D31" s="24"/>
      <c r="E31" s="24"/>
      <c r="F31" s="25"/>
      <c r="G31" s="25"/>
      <c r="H31" s="26"/>
      <c r="I31" s="73">
        <f>HLOOKUP($C31,'Параметры ПФ'!$F$7:$K$12,6,FALSE)*'Параметры ПФ'!$G$21</f>
        <v>56.64</v>
      </c>
      <c r="J31" s="73">
        <f t="shared" si="1"/>
        <v>0</v>
      </c>
      <c r="K31" s="74">
        <f>IF(J31&lt;'Параметры ПФ'!$L$3+0.01,'Адаптированные программы'!J31,ROUNDDOWN('Параметры ПФ'!$L$3/IF(H31=0,I31,IF(I31&gt;H31,H31,I31)),0)*IF(H31=0,I31,IF(I31&gt;H31,H31,I31)))</f>
        <v>0</v>
      </c>
      <c r="L31" s="73">
        <f t="shared" si="2"/>
        <v>0</v>
      </c>
      <c r="M31" s="75">
        <f t="shared" si="4"/>
        <v>0</v>
      </c>
    </row>
    <row r="32" spans="1:13">
      <c r="A32" s="10"/>
      <c r="B32" s="10"/>
      <c r="C32" s="10" t="s">
        <v>5</v>
      </c>
      <c r="D32" s="24"/>
      <c r="E32" s="24"/>
      <c r="F32" s="25"/>
      <c r="G32" s="25"/>
      <c r="H32" s="26"/>
      <c r="I32" s="73">
        <f>HLOOKUP($C32,'Параметры ПФ'!$F$7:$K$12,6,FALSE)*'Параметры ПФ'!$G$21</f>
        <v>56.64</v>
      </c>
      <c r="J32" s="73">
        <f t="shared" si="1"/>
        <v>0</v>
      </c>
      <c r="K32" s="74">
        <f>IF(J32&lt;'Параметры ПФ'!$L$3+0.01,'Адаптированные программы'!J32,ROUNDDOWN('Параметры ПФ'!$L$3/IF(H32=0,I32,IF(I32&gt;H32,H32,I32)),0)*IF(H32=0,I32,IF(I32&gt;H32,H32,I32)))</f>
        <v>0</v>
      </c>
      <c r="L32" s="73">
        <f t="shared" si="2"/>
        <v>0</v>
      </c>
      <c r="M32" s="75">
        <f t="shared" si="4"/>
        <v>0</v>
      </c>
    </row>
    <row r="33" spans="1:13">
      <c r="A33" s="10"/>
      <c r="B33" s="10"/>
      <c r="C33" s="10" t="s">
        <v>5</v>
      </c>
      <c r="D33" s="24"/>
      <c r="E33" s="24"/>
      <c r="F33" s="25"/>
      <c r="G33" s="25"/>
      <c r="H33" s="26"/>
      <c r="I33" s="73">
        <f>HLOOKUP($C33,'Параметры ПФ'!$F$7:$K$12,6,FALSE)*'Параметры ПФ'!$G$21</f>
        <v>56.64</v>
      </c>
      <c r="J33" s="73">
        <f t="shared" si="1"/>
        <v>0</v>
      </c>
      <c r="K33" s="74">
        <f>IF(J33&lt;'Параметры ПФ'!$L$3+0.01,'Адаптированные программы'!J33,ROUNDDOWN('Параметры ПФ'!$L$3/IF(H33=0,I33,IF(I33&gt;H33,H33,I33)),0)*IF(H33=0,I33,IF(I33&gt;H33,H33,I33)))</f>
        <v>0</v>
      </c>
      <c r="L33" s="73">
        <f t="shared" si="2"/>
        <v>0</v>
      </c>
      <c r="M33" s="75">
        <f t="shared" si="4"/>
        <v>0</v>
      </c>
    </row>
    <row r="34" spans="1:13">
      <c r="A34" s="10"/>
      <c r="B34" s="10"/>
      <c r="C34" s="10" t="s">
        <v>5</v>
      </c>
      <c r="D34" s="24"/>
      <c r="E34" s="24"/>
      <c r="F34" s="25"/>
      <c r="G34" s="25"/>
      <c r="H34" s="26"/>
      <c r="I34" s="73">
        <f>HLOOKUP($C34,'Параметры ПФ'!$F$7:$K$12,6,FALSE)*'Параметры ПФ'!$G$21</f>
        <v>56.64</v>
      </c>
      <c r="J34" s="73">
        <f t="shared" si="1"/>
        <v>0</v>
      </c>
      <c r="K34" s="74">
        <f>IF(J34&lt;'Параметры ПФ'!$L$3+0.01,'Адаптированные программы'!J34,ROUNDDOWN('Параметры ПФ'!$L$3/IF(H34=0,I34,IF(I34&gt;H34,H34,I34)),0)*IF(H34=0,I34,IF(I34&gt;H34,H34,I34)))</f>
        <v>0</v>
      </c>
      <c r="L34" s="73">
        <f t="shared" si="2"/>
        <v>0</v>
      </c>
      <c r="M34" s="75">
        <f t="shared" si="4"/>
        <v>0</v>
      </c>
    </row>
    <row r="35" spans="1:13">
      <c r="A35" s="10"/>
      <c r="B35" s="10"/>
      <c r="C35" s="10" t="s">
        <v>5</v>
      </c>
      <c r="D35" s="24"/>
      <c r="E35" s="24"/>
      <c r="F35" s="25"/>
      <c r="G35" s="25"/>
      <c r="H35" s="26"/>
      <c r="I35" s="73">
        <f>HLOOKUP($C35,'Параметры ПФ'!$F$7:$K$12,6,FALSE)*'Параметры ПФ'!$G$21</f>
        <v>56.64</v>
      </c>
      <c r="J35" s="73">
        <f t="shared" si="1"/>
        <v>0</v>
      </c>
      <c r="K35" s="74">
        <f>IF(J35&lt;'Параметры ПФ'!$L$3+0.01,'Адаптированные программы'!J35,ROUNDDOWN('Параметры ПФ'!$L$3/IF(H35=0,I35,IF(I35&gt;H35,H35,I35)),0)*IF(H35=0,I35,IF(I35&gt;H35,H35,I35)))</f>
        <v>0</v>
      </c>
      <c r="L35" s="73">
        <f t="shared" si="2"/>
        <v>0</v>
      </c>
      <c r="M35" s="75">
        <f t="shared" si="4"/>
        <v>0</v>
      </c>
    </row>
    <row r="36" spans="1:13">
      <c r="A36" s="10"/>
      <c r="B36" s="10"/>
      <c r="C36" s="10" t="s">
        <v>5</v>
      </c>
      <c r="D36" s="24"/>
      <c r="E36" s="24"/>
      <c r="F36" s="25"/>
      <c r="G36" s="25"/>
      <c r="H36" s="26"/>
      <c r="I36" s="73">
        <f>HLOOKUP($C36,'Параметры ПФ'!$F$7:$K$12,6,FALSE)*'Параметры ПФ'!$G$21</f>
        <v>56.64</v>
      </c>
      <c r="J36" s="73">
        <f t="shared" si="1"/>
        <v>0</v>
      </c>
      <c r="K36" s="74">
        <f>IF(J36&lt;'Параметры ПФ'!$L$3+0.01,'Адаптированные программы'!J36,ROUNDDOWN('Параметры ПФ'!$L$3/IF(H36=0,I36,IF(I36&gt;H36,H36,I36)),0)*IF(H36=0,I36,IF(I36&gt;H36,H36,I36)))</f>
        <v>0</v>
      </c>
      <c r="L36" s="73">
        <f t="shared" si="2"/>
        <v>0</v>
      </c>
      <c r="M36" s="75">
        <f t="shared" si="4"/>
        <v>0</v>
      </c>
    </row>
    <row r="37" spans="1:13">
      <c r="A37" s="10"/>
      <c r="B37" s="10"/>
      <c r="C37" s="10" t="s">
        <v>5</v>
      </c>
      <c r="D37" s="24"/>
      <c r="E37" s="24"/>
      <c r="F37" s="25"/>
      <c r="G37" s="25"/>
      <c r="H37" s="26"/>
      <c r="I37" s="73">
        <f>HLOOKUP($C37,'Параметры ПФ'!$F$7:$K$12,6,FALSE)*'Параметры ПФ'!$G$21</f>
        <v>56.64</v>
      </c>
      <c r="J37" s="73">
        <f t="shared" si="1"/>
        <v>0</v>
      </c>
      <c r="K37" s="74">
        <f>IF(J37&lt;'Параметры ПФ'!$L$3+0.01,'Адаптированные программы'!J37,ROUNDDOWN('Параметры ПФ'!$L$3/IF(H37=0,I37,IF(I37&gt;H37,H37,I37)),0)*IF(H37=0,I37,IF(I37&gt;H37,H37,I37)))</f>
        <v>0</v>
      </c>
      <c r="L37" s="73">
        <f t="shared" si="2"/>
        <v>0</v>
      </c>
      <c r="M37" s="75">
        <f t="shared" si="4"/>
        <v>0</v>
      </c>
    </row>
    <row r="38" spans="1:13">
      <c r="A38" s="10"/>
      <c r="B38" s="10"/>
      <c r="C38" s="10" t="s">
        <v>5</v>
      </c>
      <c r="D38" s="24"/>
      <c r="E38" s="24"/>
      <c r="F38" s="25"/>
      <c r="G38" s="25"/>
      <c r="H38" s="26"/>
      <c r="I38" s="73">
        <f>HLOOKUP($C38,'Параметры ПФ'!$F$7:$K$12,6,FALSE)*'Параметры ПФ'!$G$21</f>
        <v>56.64</v>
      </c>
      <c r="J38" s="73">
        <f t="shared" si="1"/>
        <v>0</v>
      </c>
      <c r="K38" s="74">
        <f>IF(J38&lt;'Параметры ПФ'!$L$3+0.01,'Адаптированные программы'!J38,ROUNDDOWN('Параметры ПФ'!$L$3/IF(H38=0,I38,IF(I38&gt;H38,H38,I38)),0)*IF(H38=0,I38,IF(I38&gt;H38,H38,I38)))</f>
        <v>0</v>
      </c>
      <c r="L38" s="73">
        <f t="shared" si="2"/>
        <v>0</v>
      </c>
      <c r="M38" s="75">
        <f t="shared" si="4"/>
        <v>0</v>
      </c>
    </row>
    <row r="39" spans="1:13">
      <c r="A39" s="104"/>
      <c r="B39" s="104"/>
      <c r="C39" s="104"/>
      <c r="D39" s="104"/>
      <c r="E39" s="104"/>
      <c r="F39" s="104"/>
      <c r="G39" s="11">
        <f>SUM(G2:G38)</f>
        <v>0</v>
      </c>
      <c r="H39" s="12" t="s">
        <v>28</v>
      </c>
      <c r="I39" s="76" t="s">
        <v>28</v>
      </c>
      <c r="J39" s="77" t="s">
        <v>28</v>
      </c>
      <c r="K39" s="76" t="s">
        <v>28</v>
      </c>
      <c r="L39" s="78">
        <f>SUM(L2:L38)</f>
        <v>0</v>
      </c>
      <c r="M39" s="79" t="s">
        <v>28</v>
      </c>
    </row>
  </sheetData>
  <mergeCells count="1">
    <mergeCell ref="A39:F39"/>
  </mergeCells>
  <conditionalFormatting sqref="M2:M38">
    <cfRule type="cellIs" dxfId="0" priority="1" operator="greater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Параметры ПФ</vt:lpstr>
      <vt:lpstr>Стандартные программы</vt:lpstr>
      <vt:lpstr>Дистанционные программы</vt:lpstr>
      <vt:lpstr>Очно-заочные программы</vt:lpstr>
      <vt:lpstr>Адаптированные программы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obrazov9</dc:creator>
  <cp:lastModifiedBy>obrazov9</cp:lastModifiedBy>
  <cp:lastPrinted>2022-04-29T12:57:32Z</cp:lastPrinted>
  <dcterms:created xsi:type="dcterms:W3CDTF">2019-03-03T02:50:35Z</dcterms:created>
  <dcterms:modified xsi:type="dcterms:W3CDTF">2022-05-12T06:39:38Z</dcterms:modified>
</cp:coreProperties>
</file>