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180" tabRatio="500" activeTab="0"/>
  </bookViews>
  <sheets>
    <sheet name="Лист1(11 л весн (утв) (дейс)" sheetId="1" r:id="rId1"/>
  </sheets>
  <definedNames/>
  <calcPr fullCalcOnLoad="1"/>
</workbook>
</file>

<file path=xl/sharedStrings.xml><?xml version="1.0" encoding="utf-8"?>
<sst xmlns="http://schemas.openxmlformats.org/spreadsheetml/2006/main" count="541" uniqueCount="149">
  <si>
    <t>Возрастная категория: c 12 лет</t>
  </si>
  <si>
    <t>Наименование блюда</t>
  </si>
  <si>
    <t>номер по СР</t>
  </si>
  <si>
    <t>выход     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</si>
  <si>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</si>
  <si>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</si>
  <si>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</si>
  <si>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</si>
  <si>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</si>
  <si>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 xml:space="preserve"> Калл</t>
  </si>
  <si>
    <t>A</t>
  </si>
  <si>
    <t>B</t>
  </si>
  <si>
    <t>C</t>
  </si>
  <si>
    <t>E</t>
  </si>
  <si>
    <t>Ca</t>
  </si>
  <si>
    <t>Mg</t>
  </si>
  <si>
    <t>P</t>
  </si>
  <si>
    <t>Fe</t>
  </si>
  <si>
    <t>Первый день (понедельник)</t>
  </si>
  <si>
    <t>завтрак</t>
  </si>
  <si>
    <t xml:space="preserve"> </t>
  </si>
  <si>
    <t>Масло сливочное порциями</t>
  </si>
  <si>
    <t>97*</t>
  </si>
  <si>
    <t>0,15.</t>
  </si>
  <si>
    <t>Каша молоч. пшеничная с маслом</t>
  </si>
  <si>
    <t>302*</t>
  </si>
  <si>
    <t>200/5</t>
  </si>
  <si>
    <t>Чай с лимоном</t>
  </si>
  <si>
    <t>686*</t>
  </si>
  <si>
    <t>Хлеб пшеничный</t>
  </si>
  <si>
    <t>итого:</t>
  </si>
  <si>
    <t>обед</t>
  </si>
  <si>
    <t xml:space="preserve">Суп картофельный с горохом </t>
  </si>
  <si>
    <t>139*</t>
  </si>
  <si>
    <t>Птица тушенная в смет.соусе</t>
  </si>
  <si>
    <t>493*</t>
  </si>
  <si>
    <t>Макаронные изделия отварные</t>
  </si>
  <si>
    <t>516*</t>
  </si>
  <si>
    <t>Чай с фруктовым соком</t>
  </si>
  <si>
    <t>79**</t>
  </si>
  <si>
    <t>Хлеб ржаной</t>
  </si>
  <si>
    <t>всего</t>
  </si>
  <si>
    <t>Второй день (вторник)</t>
  </si>
  <si>
    <t>Сыр порциями</t>
  </si>
  <si>
    <t>Каша молочная овсяная с маслом</t>
  </si>
  <si>
    <t>Чай с сахаром</t>
  </si>
  <si>
    <t>685*</t>
  </si>
  <si>
    <t>Борщ с капустой и картофелем</t>
  </si>
  <si>
    <t>110*</t>
  </si>
  <si>
    <t>250/5</t>
  </si>
  <si>
    <t>Тефтели рубленые с соусом</t>
  </si>
  <si>
    <t>462*</t>
  </si>
  <si>
    <t>Каша гречневая рассыпчатая</t>
  </si>
  <si>
    <t>508*</t>
  </si>
  <si>
    <t>Компот из смеси сухофруктов</t>
  </si>
  <si>
    <t>639*</t>
  </si>
  <si>
    <t>Третий день (среда)</t>
  </si>
  <si>
    <t>Бутерброд с повидлом</t>
  </si>
  <si>
    <t>2*</t>
  </si>
  <si>
    <t>Каша молоч. рисовая с маслом</t>
  </si>
  <si>
    <t>Кофейный напиток с молоком</t>
  </si>
  <si>
    <t>692*</t>
  </si>
  <si>
    <t xml:space="preserve">Салат из кваш.капусты с рас. маслом </t>
  </si>
  <si>
    <t>45*</t>
  </si>
  <si>
    <t>Рассольник ленинградский со сметаной</t>
  </si>
  <si>
    <t>132*</t>
  </si>
  <si>
    <t>Рыба припущенная с соусом</t>
  </si>
  <si>
    <t>371*</t>
  </si>
  <si>
    <t>Пюре картофельное</t>
  </si>
  <si>
    <t>520*</t>
  </si>
  <si>
    <t>Четвертый день (четверг)</t>
  </si>
  <si>
    <t>Каша молоч. гречневая с маслом</t>
  </si>
  <si>
    <t>Чай с молоком</t>
  </si>
  <si>
    <t>297**</t>
  </si>
  <si>
    <t>Щи из св капусты с картофелем со сметаной</t>
  </si>
  <si>
    <t>124*</t>
  </si>
  <si>
    <t>Плов из птицы</t>
  </si>
  <si>
    <t>492*</t>
  </si>
  <si>
    <t>Компот из св. плодов</t>
  </si>
  <si>
    <t>631*</t>
  </si>
  <si>
    <t>Пятый день (пятница)</t>
  </si>
  <si>
    <t>Каша молоч. пшенная с маслом</t>
  </si>
  <si>
    <t>Салат из свеклы</t>
  </si>
  <si>
    <t>Суп картоф.с макарон. издел.</t>
  </si>
  <si>
    <t>140*</t>
  </si>
  <si>
    <t>16.5</t>
  </si>
  <si>
    <t>66.14</t>
  </si>
  <si>
    <t>Жаркое по-домашнему</t>
  </si>
  <si>
    <t>436*</t>
  </si>
  <si>
    <t>Шестой день (суббота)</t>
  </si>
  <si>
    <t>Каша молоч. манная с маслом</t>
  </si>
  <si>
    <t>Какао с молоком</t>
  </si>
  <si>
    <t>693*</t>
  </si>
  <si>
    <t>Винегрет овощной</t>
  </si>
  <si>
    <t>71*</t>
  </si>
  <si>
    <t>134*</t>
  </si>
  <si>
    <t>Биточки рубленые с соусом</t>
  </si>
  <si>
    <t>451*</t>
  </si>
  <si>
    <t>Седьмой день (понедельник)</t>
  </si>
  <si>
    <t>Восьмой день (вторник)</t>
  </si>
  <si>
    <t>Котлеты руб.из птицы с соусом</t>
  </si>
  <si>
    <t>498*</t>
  </si>
  <si>
    <t>Рис отварной</t>
  </si>
  <si>
    <t>511*</t>
  </si>
  <si>
    <t>Девятый день (среда)</t>
  </si>
  <si>
    <t>Биточки рыбные с соусом</t>
  </si>
  <si>
    <t>388*</t>
  </si>
  <si>
    <t>Десятый день (четверг)</t>
  </si>
  <si>
    <t>Суп картофельный рыбный</t>
  </si>
  <si>
    <t>133*</t>
  </si>
  <si>
    <t>250/12,5</t>
  </si>
  <si>
    <t>Котлеты (особые)</t>
  </si>
  <si>
    <t>452*</t>
  </si>
  <si>
    <t>Одиннадцатый день (пятница)</t>
  </si>
  <si>
    <t>Конфета шоколадная</t>
  </si>
  <si>
    <t>Салат из свежих помидоров</t>
  </si>
  <si>
    <t>19*</t>
  </si>
  <si>
    <t>Каша пшеничная вязкая</t>
  </si>
  <si>
    <t>Двенадцатый день (суббота)</t>
  </si>
  <si>
    <t>Каша молоч. ячневая с маслом</t>
  </si>
  <si>
    <t>Огурцы соленые порциями</t>
  </si>
  <si>
    <t>Кнели из говядины</t>
  </si>
  <si>
    <t>474*</t>
  </si>
  <si>
    <t>При составлении меню использовались:</t>
  </si>
  <si>
    <t>* Сборник рецептур блюд и кулинарных изделий для предприятий ОП при общеобразовательных школах изд. 2004 год</t>
  </si>
  <si>
    <t>Котлеты рубленые с соусом</t>
  </si>
  <si>
    <t>52**</t>
  </si>
  <si>
    <t>Салат из сырых овощей</t>
  </si>
  <si>
    <t>29**</t>
  </si>
  <si>
    <t>** Сборник рецептур блюд и кулинарных изделий для предприятий ОП при образовательных учреждениях изд. 2017 год</t>
  </si>
  <si>
    <t>100(60/40)</t>
  </si>
  <si>
    <t xml:space="preserve">Технолог </t>
  </si>
  <si>
    <t>Бурцева Г.В.</t>
  </si>
  <si>
    <t>Экономист  по ценам</t>
  </si>
  <si>
    <t>Некрасова И.Б.</t>
  </si>
  <si>
    <t>100(50/50)</t>
  </si>
  <si>
    <t>Салат из свежих огурцов</t>
  </si>
  <si>
    <t>16*</t>
  </si>
  <si>
    <t>Суп крестьянский с крупой со сметаной</t>
  </si>
  <si>
    <t>Сезон: весенний</t>
  </si>
  <si>
    <t xml:space="preserve">Согласовано: </t>
  </si>
  <si>
    <t>Утверждено</t>
  </si>
  <si>
    <t xml:space="preserve">Заседанием Управляющего </t>
  </si>
  <si>
    <t>приказом директора</t>
  </si>
  <si>
    <t xml:space="preserve">Совета школы </t>
  </si>
  <si>
    <t>МБОУ "Большечеменевская СОШ"</t>
  </si>
  <si>
    <t>от 30.01.2021г №2</t>
  </si>
  <si>
    <t xml:space="preserve">Двенадцатидневное меню       </t>
  </si>
  <si>
    <t>для обучающихся МБОУ "Большечеменевская СОШ" Батыревского района Чувашской Республики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</si>
</sst>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34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2" fontId="9" fillId="34" borderId="16" xfId="0" applyNumberFormat="1" applyFont="1" applyFill="1" applyBorder="1" applyAlignment="1">
      <alignment horizontal="center"/>
    </xf>
    <xf numFmtId="2" fontId="9" fillId="34" borderId="15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5" borderId="0" xfId="0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2" fontId="8" fillId="33" borderId="19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wrapText="1"/>
    </xf>
    <xf numFmtId="2" fontId="8" fillId="33" borderId="19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2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/>
    </xf>
    <xf numFmtId="2" fontId="9" fillId="34" borderId="19" xfId="0" applyNumberFormat="1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center"/>
    </xf>
    <xf numFmtId="2" fontId="9" fillId="35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19" borderId="19" xfId="0" applyFont="1" applyFill="1" applyBorder="1" applyAlignment="1">
      <alignment horizontal="left"/>
    </xf>
    <xf numFmtId="0" fontId="8" fillId="19" borderId="19" xfId="0" applyFont="1" applyFill="1" applyBorder="1" applyAlignment="1">
      <alignment horizontal="center"/>
    </xf>
    <xf numFmtId="2" fontId="9" fillId="19" borderId="19" xfId="0" applyNumberFormat="1" applyFont="1" applyFill="1" applyBorder="1" applyAlignment="1">
      <alignment horizontal="center"/>
    </xf>
    <xf numFmtId="0" fontId="9" fillId="37" borderId="19" xfId="0" applyFont="1" applyFill="1" applyBorder="1" applyAlignment="1">
      <alignment horizontal="left"/>
    </xf>
    <xf numFmtId="0" fontId="9" fillId="37" borderId="19" xfId="0" applyFont="1" applyFill="1" applyBorder="1" applyAlignment="1">
      <alignment horizontal="center"/>
    </xf>
    <xf numFmtId="2" fontId="9" fillId="37" borderId="19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0" fontId="8" fillId="39" borderId="19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center"/>
    </xf>
    <xf numFmtId="2" fontId="9" fillId="39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4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9" fillId="41" borderId="10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2" fontId="8" fillId="33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9" fillId="34" borderId="19" xfId="0" applyFont="1" applyFill="1" applyBorder="1" applyAlignment="1">
      <alignment horizontal="right"/>
    </xf>
    <xf numFmtId="0" fontId="9" fillId="42" borderId="19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right" wrapText="1"/>
    </xf>
    <xf numFmtId="0" fontId="8" fillId="33" borderId="19" xfId="0" applyFont="1" applyFill="1" applyBorder="1" applyAlignment="1">
      <alignment horizontal="center"/>
    </xf>
    <xf numFmtId="0" fontId="9" fillId="41" borderId="19" xfId="0" applyFont="1" applyFill="1" applyBorder="1" applyAlignment="1">
      <alignment horizontal="center" wrapText="1"/>
    </xf>
    <xf numFmtId="0" fontId="9" fillId="42" borderId="19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right" wrapText="1"/>
    </xf>
    <xf numFmtId="0" fontId="9" fillId="35" borderId="19" xfId="0" applyFont="1" applyFill="1" applyBorder="1" applyAlignment="1">
      <alignment horizontal="right" wrapText="1"/>
    </xf>
    <xf numFmtId="0" fontId="9" fillId="19" borderId="19" xfId="0" applyFont="1" applyFill="1" applyBorder="1" applyAlignment="1">
      <alignment horizontal="right" wrapText="1"/>
    </xf>
    <xf numFmtId="0" fontId="9" fillId="37" borderId="19" xfId="0" applyFont="1" applyFill="1" applyBorder="1" applyAlignment="1">
      <alignment horizontal="right" wrapText="1"/>
    </xf>
    <xf numFmtId="0" fontId="9" fillId="39" borderId="19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9" fillId="41" borderId="21" xfId="0" applyFont="1" applyFill="1" applyBorder="1" applyAlignment="1">
      <alignment horizontal="center" wrapText="1"/>
    </xf>
    <xf numFmtId="0" fontId="9" fillId="41" borderId="17" xfId="0" applyFont="1" applyFill="1" applyBorder="1" applyAlignment="1">
      <alignment horizontal="center" wrapText="1"/>
    </xf>
    <xf numFmtId="0" fontId="9" fillId="41" borderId="14" xfId="0" applyFont="1" applyFill="1" applyBorder="1" applyAlignment="1">
      <alignment horizontal="center" wrapText="1"/>
    </xf>
    <xf numFmtId="0" fontId="9" fillId="35" borderId="21" xfId="0" applyFont="1" applyFill="1" applyBorder="1" applyAlignment="1">
      <alignment horizontal="right" wrapText="1"/>
    </xf>
    <xf numFmtId="0" fontId="9" fillId="35" borderId="17" xfId="0" applyFont="1" applyFill="1" applyBorder="1" applyAlignment="1">
      <alignment horizontal="right" wrapText="1"/>
    </xf>
    <xf numFmtId="0" fontId="9" fillId="35" borderId="14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2"/>
  <sheetViews>
    <sheetView tabSelected="1" zoomScalePageLayoutView="0" workbookViewId="0" topLeftCell="A55">
      <selection activeCell="A46" sqref="A46:K63"/>
    </sheetView>
  </sheetViews>
  <sheetFormatPr defaultColWidth="9.00390625" defaultRowHeight="15"/>
  <cols>
    <col min="1" max="1" width="6.28125" style="11" customWidth="1"/>
    <col min="2" max="3" width="9.00390625" style="11" customWidth="1"/>
    <col min="4" max="4" width="9.57421875" style="11" customWidth="1"/>
    <col min="5" max="5" width="3.28125" style="10" hidden="1" customWidth="1"/>
    <col min="6" max="6" width="6.421875" style="5" customWidth="1"/>
    <col min="7" max="7" width="9.421875" style="4" customWidth="1"/>
    <col min="8" max="8" width="7.00390625" style="80" customWidth="1"/>
    <col min="9" max="9" width="6.7109375" style="10" customWidth="1"/>
    <col min="10" max="10" width="8.00390625" style="10" customWidth="1"/>
    <col min="11" max="11" width="7.28125" style="10" customWidth="1"/>
    <col min="12" max="12" width="7.140625" style="10" customWidth="1"/>
    <col min="13" max="13" width="6.57421875" style="10" customWidth="1"/>
    <col min="14" max="14" width="6.28125" style="10" customWidth="1"/>
    <col min="15" max="15" width="6.7109375" style="10" customWidth="1"/>
    <col min="16" max="16" width="6.28125" style="10" customWidth="1"/>
    <col min="17" max="17" width="8.28125" style="10" customWidth="1"/>
    <col min="18" max="18" width="6.57421875" style="10" customWidth="1"/>
    <col min="19" max="19" width="7.28125" style="10" customWidth="1"/>
    <col min="20" max="20" width="5.8515625" style="10" customWidth="1"/>
    <col min="21" max="16384" width="9.00390625" style="10" customWidth="1"/>
  </cols>
  <sheetData>
    <row r="1" spans="1:20" ht="15.75">
      <c r="A1" s="127" t="s">
        <v>140</v>
      </c>
      <c r="B1" s="127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128" t="s">
        <v>141</v>
      </c>
      <c r="R1" s="128"/>
      <c r="S1" s="128"/>
      <c r="T1" s="9"/>
    </row>
    <row r="2" spans="1:19" ht="15.75">
      <c r="A2" s="124" t="s">
        <v>142</v>
      </c>
      <c r="B2" s="124"/>
      <c r="C2" s="124"/>
      <c r="D2" s="124"/>
      <c r="E2" s="4"/>
      <c r="H2" s="6"/>
      <c r="I2" s="4"/>
      <c r="J2" s="4"/>
      <c r="K2" s="4"/>
      <c r="L2" s="4"/>
      <c r="M2" s="7"/>
      <c r="N2" s="7"/>
      <c r="O2" s="8"/>
      <c r="P2" s="123" t="s">
        <v>143</v>
      </c>
      <c r="Q2" s="123"/>
      <c r="R2" s="123"/>
      <c r="S2" s="123"/>
    </row>
    <row r="3" spans="1:19" ht="15.75">
      <c r="A3" s="124" t="s">
        <v>144</v>
      </c>
      <c r="B3" s="124"/>
      <c r="C3" s="1"/>
      <c r="D3" s="1"/>
      <c r="E3" s="4"/>
      <c r="H3" s="6"/>
      <c r="I3" s="4"/>
      <c r="J3" s="4"/>
      <c r="K3" s="4"/>
      <c r="L3" s="4"/>
      <c r="M3" s="7"/>
      <c r="N3" s="123" t="s">
        <v>145</v>
      </c>
      <c r="O3" s="123"/>
      <c r="P3" s="123"/>
      <c r="Q3" s="123"/>
      <c r="R3" s="123"/>
      <c r="S3" s="123"/>
    </row>
    <row r="4" spans="1:19" ht="15.75">
      <c r="A4" s="125" t="s">
        <v>146</v>
      </c>
      <c r="B4" s="125"/>
      <c r="C4" s="125"/>
      <c r="D4" s="1"/>
      <c r="E4" s="4"/>
      <c r="H4" s="6"/>
      <c r="I4" s="4"/>
      <c r="J4" s="4"/>
      <c r="K4" s="4"/>
      <c r="L4" s="4"/>
      <c r="M4" s="7"/>
      <c r="N4" s="7"/>
      <c r="O4" s="123"/>
      <c r="P4" s="123"/>
      <c r="Q4" s="123"/>
      <c r="R4" s="123"/>
      <c r="S4" s="123"/>
    </row>
    <row r="5" spans="1:19" ht="16.5">
      <c r="A5" s="126" t="s">
        <v>147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6.5">
      <c r="A6" s="126" t="s">
        <v>148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0" s="11" customFormat="1" ht="12.75" customHeight="1">
      <c r="A7" s="129" t="s">
        <v>139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9" s="11" customFormat="1" ht="15" customHeight="1">
      <c r="A8" s="130" t="s">
        <v>0</v>
      </c>
      <c r="B8" s="130"/>
      <c r="C8" s="130"/>
      <c r="D8" s="130"/>
      <c r="E8" s="130"/>
      <c r="F8" s="130"/>
      <c r="G8" s="130"/>
      <c r="H8" s="130"/>
      <c r="I8" s="130"/>
    </row>
    <row r="9" spans="1:19" s="15" customFormat="1" ht="12.75">
      <c r="A9" s="131" t="s">
        <v>1</v>
      </c>
      <c r="B9" s="131"/>
      <c r="C9" s="131"/>
      <c r="D9" s="131"/>
      <c r="E9" s="13"/>
      <c r="F9" s="132" t="s">
        <v>2</v>
      </c>
      <c r="G9" s="132" t="s">
        <v>3</v>
      </c>
      <c r="H9" s="131" t="s">
        <v>4</v>
      </c>
      <c r="I9" s="131"/>
      <c r="J9" s="131"/>
      <c r="K9" s="131"/>
      <c r="L9" s="131" t="s">
        <v>5</v>
      </c>
      <c r="M9" s="131"/>
      <c r="N9" s="131"/>
      <c r="O9" s="131"/>
      <c r="P9" s="131"/>
      <c r="Q9" s="131"/>
      <c r="R9" s="131"/>
      <c r="S9" s="131"/>
    </row>
    <row r="10" spans="1:19" s="15" customFormat="1" ht="24">
      <c r="A10" s="131"/>
      <c r="B10" s="131"/>
      <c r="C10" s="131"/>
      <c r="D10" s="131"/>
      <c r="E10" s="16"/>
      <c r="F10" s="132"/>
      <c r="G10" s="132"/>
      <c r="H10" s="17" t="s">
        <v>6</v>
      </c>
      <c r="I10" s="17" t="s">
        <v>7</v>
      </c>
      <c r="J10" s="17" t="s">
        <v>8</v>
      </c>
      <c r="K10" s="14" t="s">
        <v>9</v>
      </c>
      <c r="L10" s="12" t="s">
        <v>10</v>
      </c>
      <c r="M10" s="12" t="s">
        <v>11</v>
      </c>
      <c r="N10" s="12" t="s">
        <v>12</v>
      </c>
      <c r="O10" s="12" t="s">
        <v>13</v>
      </c>
      <c r="P10" s="12" t="s">
        <v>14</v>
      </c>
      <c r="Q10" s="12" t="s">
        <v>15</v>
      </c>
      <c r="R10" s="12" t="s">
        <v>16</v>
      </c>
      <c r="S10" s="12" t="s">
        <v>17</v>
      </c>
    </row>
    <row r="11" spans="1:19" s="15" customFormat="1" ht="12.75">
      <c r="A11" s="136" t="s">
        <v>18</v>
      </c>
      <c r="B11" s="136"/>
      <c r="C11" s="136"/>
      <c r="D11" s="136"/>
      <c r="E11" s="18"/>
      <c r="F11" s="19"/>
      <c r="G11" s="20"/>
      <c r="H11" s="21"/>
      <c r="I11" s="21"/>
      <c r="J11" s="22"/>
      <c r="K11" s="21"/>
      <c r="L11" s="23"/>
      <c r="M11" s="23"/>
      <c r="N11" s="23"/>
      <c r="O11" s="23"/>
      <c r="P11" s="23"/>
      <c r="Q11" s="23"/>
      <c r="R11" s="23"/>
      <c r="S11" s="23"/>
    </row>
    <row r="12" spans="1:19" s="15" customFormat="1" ht="12.75">
      <c r="A12" s="137" t="s">
        <v>19</v>
      </c>
      <c r="B12" s="137"/>
      <c r="C12" s="137"/>
      <c r="D12" s="137"/>
      <c r="E12" s="24"/>
      <c r="F12" s="25"/>
      <c r="G12" s="26" t="s">
        <v>20</v>
      </c>
      <c r="H12" s="27" t="s">
        <v>20</v>
      </c>
      <c r="I12" s="27"/>
      <c r="J12" s="27" t="s">
        <v>20</v>
      </c>
      <c r="K12" s="28" t="s">
        <v>20</v>
      </c>
      <c r="L12" s="29"/>
      <c r="M12" s="29"/>
      <c r="N12" s="29"/>
      <c r="O12" s="29"/>
      <c r="P12" s="29"/>
      <c r="Q12" s="29"/>
      <c r="R12" s="29"/>
      <c r="S12" s="29"/>
    </row>
    <row r="13" spans="1:19" s="15" customFormat="1" ht="12.75">
      <c r="A13" s="133" t="s">
        <v>21</v>
      </c>
      <c r="B13" s="133"/>
      <c r="C13" s="133"/>
      <c r="D13" s="133"/>
      <c r="E13" s="30"/>
      <c r="F13" s="31" t="s">
        <v>22</v>
      </c>
      <c r="G13" s="32">
        <v>15</v>
      </c>
      <c r="H13" s="33">
        <v>0.075</v>
      </c>
      <c r="I13" s="33">
        <v>12.37</v>
      </c>
      <c r="J13" s="33">
        <v>0.08</v>
      </c>
      <c r="K13" s="34">
        <v>112.5</v>
      </c>
      <c r="L13" s="33" t="s">
        <v>23</v>
      </c>
      <c r="M13" s="33">
        <v>0</v>
      </c>
      <c r="N13" s="33">
        <v>0</v>
      </c>
      <c r="O13" s="33">
        <v>0</v>
      </c>
      <c r="P13" s="33">
        <v>1.8</v>
      </c>
      <c r="Q13" s="33">
        <v>0.06</v>
      </c>
      <c r="R13" s="33">
        <v>2.85</v>
      </c>
      <c r="S13" s="33">
        <v>0.03</v>
      </c>
    </row>
    <row r="14" spans="1:19" s="15" customFormat="1" ht="12.75">
      <c r="A14" s="133" t="s">
        <v>24</v>
      </c>
      <c r="B14" s="133"/>
      <c r="C14" s="133"/>
      <c r="D14" s="133"/>
      <c r="E14" s="35"/>
      <c r="F14" s="36" t="s">
        <v>25</v>
      </c>
      <c r="G14" s="32" t="s">
        <v>26</v>
      </c>
      <c r="H14" s="33">
        <f>22.54*200/220</f>
        <v>20.490909090909092</v>
      </c>
      <c r="I14" s="33">
        <f>11.17*200/220</f>
        <v>10.154545454545454</v>
      </c>
      <c r="J14" s="33">
        <f>25.7*200/220</f>
        <v>23.363636363636363</v>
      </c>
      <c r="K14" s="34">
        <f>300*200/220</f>
        <v>272.72727272727275</v>
      </c>
      <c r="L14" s="33">
        <f>0.08*200/220</f>
        <v>0.07272727272727272</v>
      </c>
      <c r="M14" s="33">
        <f>0.2*200/220</f>
        <v>0.18181818181818182</v>
      </c>
      <c r="N14" s="33">
        <f>1.43*200/220</f>
        <v>1.3</v>
      </c>
      <c r="O14" s="33">
        <f>0.8*200/220</f>
        <v>0.7272727272727273</v>
      </c>
      <c r="P14" s="33">
        <f>205.43*200/220</f>
        <v>186.75454545454545</v>
      </c>
      <c r="Q14" s="33">
        <f>15.66*200/220</f>
        <v>14.236363636363636</v>
      </c>
      <c r="R14" s="33">
        <v>183.38</v>
      </c>
      <c r="S14" s="33">
        <v>2.55</v>
      </c>
    </row>
    <row r="15" spans="1:19" s="15" customFormat="1" ht="12.75">
      <c r="A15" s="133" t="s">
        <v>27</v>
      </c>
      <c r="B15" s="133"/>
      <c r="C15" s="133"/>
      <c r="D15" s="133"/>
      <c r="E15" s="35"/>
      <c r="F15" s="36" t="s">
        <v>28</v>
      </c>
      <c r="G15" s="32">
        <v>200</v>
      </c>
      <c r="H15" s="33">
        <v>0.26</v>
      </c>
      <c r="I15" s="33">
        <v>0.06</v>
      </c>
      <c r="J15" s="33">
        <v>15.22</v>
      </c>
      <c r="K15" s="34">
        <v>59</v>
      </c>
      <c r="L15" s="33">
        <v>0</v>
      </c>
      <c r="M15" s="33">
        <v>0</v>
      </c>
      <c r="N15" s="33">
        <v>2.9</v>
      </c>
      <c r="O15" s="33">
        <v>0</v>
      </c>
      <c r="P15" s="33">
        <v>8.05</v>
      </c>
      <c r="Q15" s="33">
        <v>5.24</v>
      </c>
      <c r="R15" s="33">
        <v>9.78</v>
      </c>
      <c r="S15" s="33">
        <v>0.91</v>
      </c>
    </row>
    <row r="16" spans="1:19" s="15" customFormat="1" ht="12.75">
      <c r="A16" s="134" t="s">
        <v>29</v>
      </c>
      <c r="B16" s="134"/>
      <c r="C16" s="134"/>
      <c r="D16" s="134"/>
      <c r="E16" s="35"/>
      <c r="F16" s="36"/>
      <c r="G16" s="32">
        <v>50</v>
      </c>
      <c r="H16" s="33">
        <v>3.8</v>
      </c>
      <c r="I16" s="33">
        <v>0.4</v>
      </c>
      <c r="J16" s="33">
        <v>24.3</v>
      </c>
      <c r="K16" s="34">
        <v>119</v>
      </c>
      <c r="L16" s="33">
        <v>0</v>
      </c>
      <c r="M16" s="33">
        <v>0.06</v>
      </c>
      <c r="N16" s="33">
        <v>0</v>
      </c>
      <c r="O16" s="33">
        <v>0.55</v>
      </c>
      <c r="P16" s="33">
        <v>10</v>
      </c>
      <c r="Q16" s="33">
        <v>7</v>
      </c>
      <c r="R16" s="33">
        <v>32.5</v>
      </c>
      <c r="S16" s="33">
        <v>0.55</v>
      </c>
    </row>
    <row r="17" spans="1:19" s="15" customFormat="1" ht="12.75">
      <c r="A17" s="139" t="s">
        <v>30</v>
      </c>
      <c r="B17" s="139"/>
      <c r="C17" s="139"/>
      <c r="D17" s="139"/>
      <c r="E17" s="37"/>
      <c r="F17" s="38"/>
      <c r="G17" s="39" t="s">
        <v>20</v>
      </c>
      <c r="H17" s="40">
        <f>H13+H14+H15+H16</f>
        <v>24.625909090909094</v>
      </c>
      <c r="I17" s="40">
        <f aca="true" t="shared" si="0" ref="I17:S17">SUM(I13:I16)</f>
        <v>22.98454545454545</v>
      </c>
      <c r="J17" s="40">
        <f t="shared" si="0"/>
        <v>62.96363636363637</v>
      </c>
      <c r="K17" s="41">
        <f t="shared" si="0"/>
        <v>563.2272727272727</v>
      </c>
      <c r="L17" s="42">
        <f t="shared" si="0"/>
        <v>0.07272727272727272</v>
      </c>
      <c r="M17" s="42">
        <f t="shared" si="0"/>
        <v>0.24181818181818182</v>
      </c>
      <c r="N17" s="42">
        <f t="shared" si="0"/>
        <v>4.2</v>
      </c>
      <c r="O17" s="42">
        <f t="shared" si="0"/>
        <v>1.2772727272727273</v>
      </c>
      <c r="P17" s="42">
        <f t="shared" si="0"/>
        <v>206.60454545454547</v>
      </c>
      <c r="Q17" s="42">
        <f t="shared" si="0"/>
        <v>26.53636363636364</v>
      </c>
      <c r="R17" s="42">
        <f t="shared" si="0"/>
        <v>228.51</v>
      </c>
      <c r="S17" s="42">
        <f t="shared" si="0"/>
        <v>4.04</v>
      </c>
    </row>
    <row r="18" spans="1:19" s="15" customFormat="1" ht="12.75">
      <c r="A18" s="140" t="s">
        <v>31</v>
      </c>
      <c r="B18" s="140"/>
      <c r="C18" s="140"/>
      <c r="D18" s="140"/>
      <c r="E18" s="18"/>
      <c r="F18" s="19"/>
      <c r="G18" s="26"/>
      <c r="H18" s="27"/>
      <c r="I18" s="27"/>
      <c r="J18" s="27"/>
      <c r="K18" s="28"/>
      <c r="L18" s="43"/>
      <c r="M18" s="43"/>
      <c r="N18" s="43"/>
      <c r="O18" s="43"/>
      <c r="P18" s="43"/>
      <c r="Q18" s="43"/>
      <c r="R18" s="43"/>
      <c r="S18" s="43"/>
    </row>
    <row r="19" spans="1:19" s="15" customFormat="1" ht="12.75">
      <c r="A19" s="141" t="s">
        <v>136</v>
      </c>
      <c r="B19" s="142"/>
      <c r="C19" s="142"/>
      <c r="D19" s="143"/>
      <c r="E19" s="35"/>
      <c r="F19" s="36" t="s">
        <v>137</v>
      </c>
      <c r="G19" s="32">
        <v>100</v>
      </c>
      <c r="H19" s="33">
        <v>0.79</v>
      </c>
      <c r="I19" s="33">
        <v>1.01</v>
      </c>
      <c r="J19" s="33">
        <v>1.44</v>
      </c>
      <c r="K19" s="34">
        <v>105</v>
      </c>
      <c r="L19" s="33">
        <v>0.05</v>
      </c>
      <c r="M19" s="33">
        <v>0.2</v>
      </c>
      <c r="N19" s="33">
        <v>9.1</v>
      </c>
      <c r="O19" s="33">
        <v>4.5</v>
      </c>
      <c r="P19" s="33">
        <v>21.73</v>
      </c>
      <c r="Q19" s="33">
        <v>12.74</v>
      </c>
      <c r="R19" s="33">
        <v>39.82</v>
      </c>
      <c r="S19" s="33">
        <v>0.5700000000000001</v>
      </c>
    </row>
    <row r="20" spans="1:19" s="15" customFormat="1" ht="12.75">
      <c r="A20" s="133" t="s">
        <v>32</v>
      </c>
      <c r="B20" s="133"/>
      <c r="C20" s="133"/>
      <c r="D20" s="133"/>
      <c r="E20" s="35"/>
      <c r="F20" s="36" t="s">
        <v>33</v>
      </c>
      <c r="G20" s="32">
        <v>250</v>
      </c>
      <c r="H20" s="33">
        <v>5.89</v>
      </c>
      <c r="I20" s="33">
        <v>4.65</v>
      </c>
      <c r="J20" s="33">
        <v>19.98</v>
      </c>
      <c r="K20" s="34">
        <v>147</v>
      </c>
      <c r="L20" s="33">
        <v>0.06</v>
      </c>
      <c r="M20" s="33">
        <v>0.25</v>
      </c>
      <c r="N20" s="33">
        <v>11.5</v>
      </c>
      <c r="O20" s="33">
        <v>0.26</v>
      </c>
      <c r="P20" s="33">
        <v>38.4</v>
      </c>
      <c r="Q20" s="33">
        <v>34.87</v>
      </c>
      <c r="R20" s="33">
        <v>88.32</v>
      </c>
      <c r="S20" s="33">
        <v>2.08</v>
      </c>
    </row>
    <row r="21" spans="1:19" s="15" customFormat="1" ht="12.75">
      <c r="A21" s="133" t="s">
        <v>34</v>
      </c>
      <c r="B21" s="133"/>
      <c r="C21" s="133"/>
      <c r="D21" s="133"/>
      <c r="E21" s="35"/>
      <c r="F21" s="36" t="s">
        <v>35</v>
      </c>
      <c r="G21" s="32" t="s">
        <v>135</v>
      </c>
      <c r="H21" s="32">
        <v>12.05</v>
      </c>
      <c r="I21" s="32">
        <v>9.8</v>
      </c>
      <c r="J21" s="32">
        <v>2.25</v>
      </c>
      <c r="K21" s="34">
        <v>145</v>
      </c>
      <c r="L21" s="32">
        <v>0.08</v>
      </c>
      <c r="M21" s="32">
        <v>0.07</v>
      </c>
      <c r="N21" s="32">
        <v>0.52</v>
      </c>
      <c r="O21" s="32">
        <v>2.45</v>
      </c>
      <c r="P21" s="32">
        <v>18.53</v>
      </c>
      <c r="Q21" s="32">
        <v>15.68</v>
      </c>
      <c r="R21" s="32">
        <v>128.74</v>
      </c>
      <c r="S21" s="32">
        <v>1.03</v>
      </c>
    </row>
    <row r="22" spans="1:19" s="15" customFormat="1" ht="12.75">
      <c r="A22" s="133" t="s">
        <v>36</v>
      </c>
      <c r="B22" s="133"/>
      <c r="C22" s="133"/>
      <c r="D22" s="133"/>
      <c r="E22" s="44"/>
      <c r="F22" s="45" t="s">
        <v>37</v>
      </c>
      <c r="G22" s="46">
        <v>180</v>
      </c>
      <c r="H22" s="47">
        <v>6.38</v>
      </c>
      <c r="I22" s="47">
        <v>5.87</v>
      </c>
      <c r="J22" s="47">
        <v>42.62</v>
      </c>
      <c r="K22" s="48">
        <v>253</v>
      </c>
      <c r="L22" s="33">
        <v>0.06</v>
      </c>
      <c r="M22" s="33">
        <v>0.13</v>
      </c>
      <c r="N22" s="33">
        <v>0</v>
      </c>
      <c r="O22" s="33">
        <v>0.92</v>
      </c>
      <c r="P22" s="33">
        <v>12.37</v>
      </c>
      <c r="Q22" s="33">
        <v>9.8</v>
      </c>
      <c r="R22" s="33">
        <v>54.34</v>
      </c>
      <c r="S22" s="33">
        <v>0.99</v>
      </c>
    </row>
    <row r="23" spans="1:19" s="15" customFormat="1" ht="12.75">
      <c r="A23" s="133" t="s">
        <v>54</v>
      </c>
      <c r="B23" s="133"/>
      <c r="C23" s="133"/>
      <c r="D23" s="133"/>
      <c r="E23" s="35"/>
      <c r="F23" s="36" t="s">
        <v>55</v>
      </c>
      <c r="G23" s="32">
        <v>200</v>
      </c>
      <c r="H23" s="33">
        <v>0.44</v>
      </c>
      <c r="I23" s="33">
        <v>0</v>
      </c>
      <c r="J23" s="33">
        <v>28.88</v>
      </c>
      <c r="K23" s="34">
        <v>116</v>
      </c>
      <c r="L23" s="33">
        <v>0</v>
      </c>
      <c r="M23" s="33">
        <v>0</v>
      </c>
      <c r="N23" s="33">
        <v>0.4</v>
      </c>
      <c r="O23" s="33">
        <v>0</v>
      </c>
      <c r="P23" s="33">
        <v>44.8</v>
      </c>
      <c r="Q23" s="33">
        <v>6</v>
      </c>
      <c r="R23" s="33">
        <v>15.4</v>
      </c>
      <c r="S23" s="33">
        <v>1.26</v>
      </c>
    </row>
    <row r="24" spans="1:19" s="15" customFormat="1" ht="12.75">
      <c r="A24" s="135" t="s">
        <v>40</v>
      </c>
      <c r="B24" s="135"/>
      <c r="C24" s="135"/>
      <c r="D24" s="135"/>
      <c r="E24" s="49"/>
      <c r="F24" s="50"/>
      <c r="G24" s="51">
        <v>60</v>
      </c>
      <c r="H24" s="52">
        <v>2.82</v>
      </c>
      <c r="I24" s="52">
        <v>0.6</v>
      </c>
      <c r="J24" s="52">
        <v>0.6</v>
      </c>
      <c r="K24" s="53">
        <v>126</v>
      </c>
      <c r="L24" s="52">
        <v>0</v>
      </c>
      <c r="M24" s="52">
        <v>0.08</v>
      </c>
      <c r="N24" s="52">
        <v>0</v>
      </c>
      <c r="O24" s="52">
        <v>0.78</v>
      </c>
      <c r="P24" s="52">
        <v>14.4</v>
      </c>
      <c r="Q24" s="52">
        <v>11.4</v>
      </c>
      <c r="R24" s="52">
        <v>52.2</v>
      </c>
      <c r="S24" s="52">
        <v>2.24</v>
      </c>
    </row>
    <row r="25" spans="1:83" s="57" customFormat="1" ht="12.75">
      <c r="A25" s="138" t="s">
        <v>30</v>
      </c>
      <c r="B25" s="138"/>
      <c r="C25" s="138"/>
      <c r="D25" s="138"/>
      <c r="E25" s="54"/>
      <c r="F25" s="55"/>
      <c r="G25" s="55"/>
      <c r="H25" s="42">
        <f>SUM(H18:H23)</f>
        <v>25.55</v>
      </c>
      <c r="I25" s="42">
        <f>SUM(I18:I23)</f>
        <v>21.330000000000002</v>
      </c>
      <c r="J25" s="42">
        <f>SUM(J18:J23)</f>
        <v>95.16999999999999</v>
      </c>
      <c r="K25" s="42">
        <f>SUM(K19:K24)</f>
        <v>892</v>
      </c>
      <c r="L25" s="42">
        <f>SUM(L18:L23)</f>
        <v>0.25</v>
      </c>
      <c r="M25" s="42">
        <v>0.46</v>
      </c>
      <c r="N25" s="42">
        <f aca="true" t="shared" si="1" ref="N25:S25">SUM(N18:N23)</f>
        <v>21.52</v>
      </c>
      <c r="O25" s="42">
        <f t="shared" si="1"/>
        <v>8.13</v>
      </c>
      <c r="P25" s="42">
        <f t="shared" si="1"/>
        <v>135.82999999999998</v>
      </c>
      <c r="Q25" s="42">
        <f t="shared" si="1"/>
        <v>79.09</v>
      </c>
      <c r="R25" s="42">
        <f t="shared" si="1"/>
        <v>326.62</v>
      </c>
      <c r="S25" s="42">
        <f t="shared" si="1"/>
        <v>5.930000000000001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</row>
    <row r="26" spans="1:83" s="62" customFormat="1" ht="12.75" customHeight="1">
      <c r="A26" s="163" t="s">
        <v>41</v>
      </c>
      <c r="B26" s="164"/>
      <c r="C26" s="164"/>
      <c r="D26" s="165"/>
      <c r="E26" s="58"/>
      <c r="F26" s="59"/>
      <c r="G26" s="60"/>
      <c r="H26" s="61">
        <f>SUM(H17+H25)</f>
        <v>50.175909090909094</v>
      </c>
      <c r="I26" s="61">
        <f aca="true" t="shared" si="2" ref="I26:S26">SUM(I17+I25)</f>
        <v>44.31454545454545</v>
      </c>
      <c r="J26" s="61">
        <f t="shared" si="2"/>
        <v>158.13363636363636</v>
      </c>
      <c r="K26" s="61">
        <f t="shared" si="2"/>
        <v>1455.2272727272727</v>
      </c>
      <c r="L26" s="61">
        <f t="shared" si="2"/>
        <v>0.32272727272727275</v>
      </c>
      <c r="M26" s="61">
        <f t="shared" si="2"/>
        <v>0.7018181818181819</v>
      </c>
      <c r="N26" s="61">
        <f t="shared" si="2"/>
        <v>25.72</v>
      </c>
      <c r="O26" s="61">
        <f t="shared" si="2"/>
        <v>9.407272727272728</v>
      </c>
      <c r="P26" s="61">
        <f t="shared" si="2"/>
        <v>342.43454545454546</v>
      </c>
      <c r="Q26" s="61">
        <f t="shared" si="2"/>
        <v>105.62636363636364</v>
      </c>
      <c r="R26" s="61">
        <f t="shared" si="2"/>
        <v>555.13</v>
      </c>
      <c r="S26" s="61">
        <f t="shared" si="2"/>
        <v>9.97</v>
      </c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</row>
    <row r="27" spans="1:19" s="56" customFormat="1" ht="12.75" customHeight="1">
      <c r="A27" s="151" t="s">
        <v>1</v>
      </c>
      <c r="B27" s="151"/>
      <c r="C27" s="151"/>
      <c r="D27" s="151"/>
      <c r="E27" s="88"/>
      <c r="F27" s="145" t="s">
        <v>2</v>
      </c>
      <c r="G27" s="145" t="s">
        <v>3</v>
      </c>
      <c r="H27" s="144" t="s">
        <v>4</v>
      </c>
      <c r="I27" s="144"/>
      <c r="J27" s="144"/>
      <c r="K27" s="144"/>
      <c r="L27" s="144" t="s">
        <v>5</v>
      </c>
      <c r="M27" s="144"/>
      <c r="N27" s="144"/>
      <c r="O27" s="144"/>
      <c r="P27" s="144"/>
      <c r="Q27" s="144"/>
      <c r="R27" s="144"/>
      <c r="S27" s="144"/>
    </row>
    <row r="28" spans="1:19" s="56" customFormat="1" ht="12.75" customHeight="1">
      <c r="A28" s="151"/>
      <c r="B28" s="151"/>
      <c r="C28" s="151"/>
      <c r="D28" s="151"/>
      <c r="E28" s="87"/>
      <c r="F28" s="145"/>
      <c r="G28" s="145"/>
      <c r="H28" s="90" t="s">
        <v>6</v>
      </c>
      <c r="I28" s="90" t="s">
        <v>7</v>
      </c>
      <c r="J28" s="90" t="s">
        <v>8</v>
      </c>
      <c r="K28" s="91" t="s">
        <v>9</v>
      </c>
      <c r="L28" s="89" t="s">
        <v>10</v>
      </c>
      <c r="M28" s="89" t="s">
        <v>11</v>
      </c>
      <c r="N28" s="89" t="s">
        <v>12</v>
      </c>
      <c r="O28" s="89" t="s">
        <v>13</v>
      </c>
      <c r="P28" s="89" t="s">
        <v>14</v>
      </c>
      <c r="Q28" s="89" t="s">
        <v>15</v>
      </c>
      <c r="R28" s="89" t="s">
        <v>16</v>
      </c>
      <c r="S28" s="89" t="s">
        <v>17</v>
      </c>
    </row>
    <row r="29" spans="1:19" s="15" customFormat="1" ht="12.75" customHeight="1">
      <c r="A29" s="160" t="s">
        <v>42</v>
      </c>
      <c r="B29" s="161"/>
      <c r="C29" s="161"/>
      <c r="D29" s="162"/>
      <c r="E29" s="63"/>
      <c r="F29" s="64"/>
      <c r="G29" s="23"/>
      <c r="H29" s="43"/>
      <c r="I29" s="43"/>
      <c r="J29" s="43"/>
      <c r="K29" s="65"/>
      <c r="L29" s="43"/>
      <c r="M29" s="43"/>
      <c r="N29" s="43"/>
      <c r="O29" s="43"/>
      <c r="P29" s="43"/>
      <c r="Q29" s="43"/>
      <c r="R29" s="43"/>
      <c r="S29" s="43"/>
    </row>
    <row r="30" spans="1:19" s="15" customFormat="1" ht="12.75">
      <c r="A30" s="137" t="s">
        <v>19</v>
      </c>
      <c r="B30" s="137"/>
      <c r="C30" s="137"/>
      <c r="D30" s="137"/>
      <c r="E30" s="24"/>
      <c r="F30" s="25"/>
      <c r="G30" s="26" t="s">
        <v>20</v>
      </c>
      <c r="H30" s="27" t="s">
        <v>20</v>
      </c>
      <c r="I30" s="27"/>
      <c r="J30" s="27" t="s">
        <v>20</v>
      </c>
      <c r="K30" s="28" t="s">
        <v>20</v>
      </c>
      <c r="L30" s="29"/>
      <c r="M30" s="29"/>
      <c r="N30" s="29"/>
      <c r="O30" s="29"/>
      <c r="P30" s="29"/>
      <c r="Q30" s="29"/>
      <c r="R30" s="29"/>
      <c r="S30" s="29"/>
    </row>
    <row r="31" spans="1:19" s="15" customFormat="1" ht="12.75">
      <c r="A31" s="133" t="s">
        <v>43</v>
      </c>
      <c r="B31" s="133"/>
      <c r="C31" s="133"/>
      <c r="D31" s="133"/>
      <c r="E31" s="30"/>
      <c r="F31" s="31" t="s">
        <v>22</v>
      </c>
      <c r="G31" s="32">
        <v>20</v>
      </c>
      <c r="H31" s="33">
        <v>4.6</v>
      </c>
      <c r="I31" s="33">
        <v>5.8</v>
      </c>
      <c r="J31" s="33">
        <v>0</v>
      </c>
      <c r="K31" s="34">
        <v>72</v>
      </c>
      <c r="L31" s="33">
        <v>0.09</v>
      </c>
      <c r="M31" s="33">
        <v>0.07</v>
      </c>
      <c r="N31" s="33">
        <v>0.32</v>
      </c>
      <c r="O31" s="33">
        <v>0.1</v>
      </c>
      <c r="P31" s="33">
        <v>200</v>
      </c>
      <c r="Q31" s="33">
        <v>10</v>
      </c>
      <c r="R31" s="33">
        <v>108</v>
      </c>
      <c r="S31" s="33">
        <v>0.22</v>
      </c>
    </row>
    <row r="32" spans="1:19" s="15" customFormat="1" ht="12.75">
      <c r="A32" s="133" t="s">
        <v>44</v>
      </c>
      <c r="B32" s="133"/>
      <c r="C32" s="133"/>
      <c r="D32" s="133"/>
      <c r="E32" s="35"/>
      <c r="F32" s="36" t="s">
        <v>25</v>
      </c>
      <c r="G32" s="32" t="s">
        <v>26</v>
      </c>
      <c r="H32" s="33">
        <f>5.55*200/150</f>
        <v>7.4</v>
      </c>
      <c r="I32" s="33">
        <f>10.46*200/150</f>
        <v>13.946666666666667</v>
      </c>
      <c r="J32" s="33">
        <f>23.97*200/150</f>
        <v>31.96</v>
      </c>
      <c r="K32" s="34">
        <f>213*200/150</f>
        <v>284</v>
      </c>
      <c r="L32" s="33">
        <f>0.05*200/150</f>
        <v>0.06666666666666667</v>
      </c>
      <c r="M32" s="33">
        <f>0.15*200/150</f>
        <v>0.2</v>
      </c>
      <c r="N32" s="33">
        <f>0.92*200/150</f>
        <v>1.2266666666666666</v>
      </c>
      <c r="O32" s="33">
        <f>0.26*200/150</f>
        <v>0.3466666666666667</v>
      </c>
      <c r="P32" s="33">
        <f>105.93*200/150</f>
        <v>141.24</v>
      </c>
      <c r="Q32" s="33">
        <f>47.51*200/150</f>
        <v>63.346666666666664</v>
      </c>
      <c r="R32" s="33">
        <v>148.1</v>
      </c>
      <c r="S32" s="33">
        <v>1.32</v>
      </c>
    </row>
    <row r="33" spans="1:19" s="15" customFormat="1" ht="12.75">
      <c r="A33" s="133" t="s">
        <v>45</v>
      </c>
      <c r="B33" s="133"/>
      <c r="C33" s="133"/>
      <c r="D33" s="133"/>
      <c r="E33" s="35"/>
      <c r="F33" s="36" t="s">
        <v>46</v>
      </c>
      <c r="G33" s="32">
        <v>200</v>
      </c>
      <c r="H33" s="33">
        <v>0.2</v>
      </c>
      <c r="I33" s="33">
        <v>0.05</v>
      </c>
      <c r="J33" s="33">
        <v>15.01</v>
      </c>
      <c r="K33" s="34">
        <v>57</v>
      </c>
      <c r="L33" s="33">
        <v>0</v>
      </c>
      <c r="M33" s="33">
        <v>0</v>
      </c>
      <c r="N33" s="33">
        <v>0.1</v>
      </c>
      <c r="O33" s="33">
        <v>0</v>
      </c>
      <c r="P33" s="33">
        <v>5.25</v>
      </c>
      <c r="Q33" s="33">
        <v>4.4</v>
      </c>
      <c r="R33" s="33">
        <v>8.24</v>
      </c>
      <c r="S33" s="33">
        <v>0.87</v>
      </c>
    </row>
    <row r="34" spans="1:19" s="15" customFormat="1" ht="12.75">
      <c r="A34" s="134" t="s">
        <v>29</v>
      </c>
      <c r="B34" s="134"/>
      <c r="C34" s="134"/>
      <c r="D34" s="134"/>
      <c r="E34" s="35"/>
      <c r="F34" s="36"/>
      <c r="G34" s="32">
        <v>50</v>
      </c>
      <c r="H34" s="33">
        <v>3.8</v>
      </c>
      <c r="I34" s="33">
        <v>0.4</v>
      </c>
      <c r="J34" s="33">
        <v>24.3</v>
      </c>
      <c r="K34" s="34">
        <v>119</v>
      </c>
      <c r="L34" s="33">
        <v>0</v>
      </c>
      <c r="M34" s="33">
        <v>0.06</v>
      </c>
      <c r="N34" s="33">
        <v>0</v>
      </c>
      <c r="O34" s="33">
        <v>0.55</v>
      </c>
      <c r="P34" s="33">
        <v>10</v>
      </c>
      <c r="Q34" s="33">
        <v>7</v>
      </c>
      <c r="R34" s="33">
        <v>32.5</v>
      </c>
      <c r="S34" s="33">
        <v>0.55</v>
      </c>
    </row>
    <row r="35" spans="1:19" s="15" customFormat="1" ht="12.75">
      <c r="A35" s="139" t="s">
        <v>30</v>
      </c>
      <c r="B35" s="139"/>
      <c r="C35" s="139"/>
      <c r="D35" s="139"/>
      <c r="E35" s="37"/>
      <c r="F35" s="38"/>
      <c r="G35" s="39" t="s">
        <v>20</v>
      </c>
      <c r="H35" s="40">
        <f aca="true" t="shared" si="3" ref="H35:S35">SUM(H31:H34)</f>
        <v>16</v>
      </c>
      <c r="I35" s="40">
        <f t="shared" si="3"/>
        <v>20.196666666666665</v>
      </c>
      <c r="J35" s="40">
        <f t="shared" si="3"/>
        <v>71.27</v>
      </c>
      <c r="K35" s="41">
        <f t="shared" si="3"/>
        <v>532</v>
      </c>
      <c r="L35" s="42">
        <f t="shared" si="3"/>
        <v>0.15666666666666668</v>
      </c>
      <c r="M35" s="42">
        <f t="shared" si="3"/>
        <v>0.33</v>
      </c>
      <c r="N35" s="42">
        <f t="shared" si="3"/>
        <v>1.6466666666666667</v>
      </c>
      <c r="O35" s="42">
        <f t="shared" si="3"/>
        <v>0.9966666666666667</v>
      </c>
      <c r="P35" s="42">
        <f t="shared" si="3"/>
        <v>356.49</v>
      </c>
      <c r="Q35" s="42">
        <f t="shared" si="3"/>
        <v>84.74666666666667</v>
      </c>
      <c r="R35" s="42">
        <f t="shared" si="3"/>
        <v>296.84000000000003</v>
      </c>
      <c r="S35" s="42">
        <f t="shared" si="3"/>
        <v>2.96</v>
      </c>
    </row>
    <row r="36" spans="1:19" s="15" customFormat="1" ht="12.75">
      <c r="A36" s="140" t="s">
        <v>31</v>
      </c>
      <c r="B36" s="140"/>
      <c r="C36" s="140"/>
      <c r="D36" s="140"/>
      <c r="E36" s="18"/>
      <c r="F36" s="19"/>
      <c r="G36" s="26"/>
      <c r="H36" s="27"/>
      <c r="I36" s="27"/>
      <c r="J36" s="27"/>
      <c r="K36" s="28"/>
      <c r="L36" s="43"/>
      <c r="M36" s="43"/>
      <c r="N36" s="43"/>
      <c r="O36" s="43"/>
      <c r="P36" s="43"/>
      <c r="Q36" s="43"/>
      <c r="R36" s="43"/>
      <c r="S36" s="43"/>
    </row>
    <row r="37" spans="1:19" s="15" customFormat="1" ht="12.75">
      <c r="A37" s="133" t="s">
        <v>127</v>
      </c>
      <c r="B37" s="133"/>
      <c r="C37" s="133"/>
      <c r="D37" s="133"/>
      <c r="E37" s="35"/>
      <c r="F37" s="36" t="s">
        <v>128</v>
      </c>
      <c r="G37" s="32">
        <v>100</v>
      </c>
      <c r="H37" s="33">
        <v>1.09</v>
      </c>
      <c r="I37" s="33">
        <v>6.04</v>
      </c>
      <c r="J37" s="33">
        <v>3.78</v>
      </c>
      <c r="K37" s="34">
        <v>74</v>
      </c>
      <c r="L37" s="33">
        <v>0.05</v>
      </c>
      <c r="M37" s="33">
        <v>0.2</v>
      </c>
      <c r="N37" s="33">
        <v>9.1</v>
      </c>
      <c r="O37" s="33">
        <v>4.5</v>
      </c>
      <c r="P37" s="33">
        <v>21.73</v>
      </c>
      <c r="Q37" s="33">
        <v>12.74</v>
      </c>
      <c r="R37" s="33">
        <v>39.82</v>
      </c>
      <c r="S37" s="33">
        <v>0.5700000000000001</v>
      </c>
    </row>
    <row r="38" spans="1:19" s="15" customFormat="1" ht="12.75">
      <c r="A38" s="133" t="s">
        <v>47</v>
      </c>
      <c r="B38" s="133"/>
      <c r="C38" s="133"/>
      <c r="D38" s="133"/>
      <c r="E38" s="35"/>
      <c r="F38" s="36" t="s">
        <v>48</v>
      </c>
      <c r="G38" s="32" t="s">
        <v>49</v>
      </c>
      <c r="H38" s="33">
        <v>1.8</v>
      </c>
      <c r="I38" s="33">
        <v>6.2</v>
      </c>
      <c r="J38" s="33">
        <v>9</v>
      </c>
      <c r="K38" s="34">
        <v>107</v>
      </c>
      <c r="L38" s="33">
        <v>0.11</v>
      </c>
      <c r="M38" s="33">
        <v>0.04</v>
      </c>
      <c r="N38" s="33">
        <v>10.99</v>
      </c>
      <c r="O38" s="33">
        <v>0.21</v>
      </c>
      <c r="P38" s="33">
        <v>47.11</v>
      </c>
      <c r="Q38" s="33">
        <v>24.21</v>
      </c>
      <c r="R38" s="33">
        <v>53.88</v>
      </c>
      <c r="S38" s="33">
        <v>1.17</v>
      </c>
    </row>
    <row r="39" spans="1:19" s="15" customFormat="1" ht="12.75">
      <c r="A39" s="133" t="s">
        <v>50</v>
      </c>
      <c r="B39" s="133"/>
      <c r="C39" s="133"/>
      <c r="D39" s="133"/>
      <c r="E39" s="35"/>
      <c r="F39" s="36" t="s">
        <v>51</v>
      </c>
      <c r="G39" s="32" t="s">
        <v>130</v>
      </c>
      <c r="H39" s="32">
        <v>8.82</v>
      </c>
      <c r="I39" s="32">
        <v>15.07</v>
      </c>
      <c r="J39" s="32">
        <v>10.01</v>
      </c>
      <c r="K39" s="36">
        <v>211</v>
      </c>
      <c r="L39" s="33">
        <v>0.01</v>
      </c>
      <c r="M39" s="33">
        <v>0.06</v>
      </c>
      <c r="N39" s="33">
        <v>3.08</v>
      </c>
      <c r="O39" s="33">
        <v>4.96</v>
      </c>
      <c r="P39" s="33">
        <v>30.91</v>
      </c>
      <c r="Q39" s="33">
        <v>10.02</v>
      </c>
      <c r="R39" s="33">
        <v>59.95</v>
      </c>
      <c r="S39" s="33">
        <v>0.66</v>
      </c>
    </row>
    <row r="40" spans="1:19" s="15" customFormat="1" ht="12.75">
      <c r="A40" s="133" t="s">
        <v>52</v>
      </c>
      <c r="B40" s="133"/>
      <c r="C40" s="133"/>
      <c r="D40" s="133"/>
      <c r="E40" s="44"/>
      <c r="F40" s="45" t="s">
        <v>53</v>
      </c>
      <c r="G40" s="46">
        <v>180</v>
      </c>
      <c r="H40" s="47">
        <v>10.51</v>
      </c>
      <c r="I40" s="47">
        <v>7.94</v>
      </c>
      <c r="J40" s="47">
        <v>51.7</v>
      </c>
      <c r="K40" s="48">
        <v>325</v>
      </c>
      <c r="L40" s="33">
        <v>0.06</v>
      </c>
      <c r="M40" s="33">
        <v>0.1</v>
      </c>
      <c r="N40" s="33">
        <v>0</v>
      </c>
      <c r="O40" s="33">
        <v>0.67</v>
      </c>
      <c r="P40" s="33">
        <v>17.39</v>
      </c>
      <c r="Q40" s="33">
        <v>166.34</v>
      </c>
      <c r="R40" s="33">
        <v>249.01</v>
      </c>
      <c r="S40" s="33">
        <v>5.58</v>
      </c>
    </row>
    <row r="41" spans="1:19" s="15" customFormat="1" ht="12.75">
      <c r="A41" s="133" t="s">
        <v>38</v>
      </c>
      <c r="B41" s="133"/>
      <c r="C41" s="133"/>
      <c r="D41" s="133"/>
      <c r="E41" s="35"/>
      <c r="F41" s="36" t="s">
        <v>39</v>
      </c>
      <c r="G41" s="32">
        <v>200</v>
      </c>
      <c r="H41" s="33">
        <v>0.34</v>
      </c>
      <c r="I41" s="33">
        <v>0.02</v>
      </c>
      <c r="J41" s="33">
        <v>24.53</v>
      </c>
      <c r="K41" s="34">
        <v>95</v>
      </c>
      <c r="L41" s="33">
        <v>0</v>
      </c>
      <c r="M41" s="33">
        <v>0</v>
      </c>
      <c r="N41" s="33">
        <v>1.04</v>
      </c>
      <c r="O41" s="33">
        <v>0.05</v>
      </c>
      <c r="P41" s="33">
        <v>6.13</v>
      </c>
      <c r="Q41" s="33">
        <v>3.98</v>
      </c>
      <c r="R41" s="33">
        <v>7.21</v>
      </c>
      <c r="S41" s="33">
        <v>0.58</v>
      </c>
    </row>
    <row r="42" spans="1:19" s="15" customFormat="1" ht="12.75">
      <c r="A42" s="134" t="s">
        <v>40</v>
      </c>
      <c r="B42" s="134"/>
      <c r="C42" s="134"/>
      <c r="D42" s="134"/>
      <c r="E42" s="35"/>
      <c r="F42" s="36"/>
      <c r="G42" s="32">
        <v>60</v>
      </c>
      <c r="H42" s="33">
        <v>2.82</v>
      </c>
      <c r="I42" s="33">
        <v>0.6</v>
      </c>
      <c r="J42" s="33">
        <v>0.6</v>
      </c>
      <c r="K42" s="34">
        <v>126</v>
      </c>
      <c r="L42" s="33">
        <v>0</v>
      </c>
      <c r="M42" s="33">
        <v>0.04</v>
      </c>
      <c r="N42" s="33">
        <v>0</v>
      </c>
      <c r="O42" s="33">
        <v>0.78</v>
      </c>
      <c r="P42" s="33">
        <v>14.4</v>
      </c>
      <c r="Q42" s="33">
        <v>11.4</v>
      </c>
      <c r="R42" s="33">
        <v>52.2</v>
      </c>
      <c r="S42" s="33">
        <v>2.24</v>
      </c>
    </row>
    <row r="43" spans="1:19" s="15" customFormat="1" ht="12.75">
      <c r="A43" s="138" t="s">
        <v>30</v>
      </c>
      <c r="B43" s="138"/>
      <c r="C43" s="138"/>
      <c r="D43" s="138"/>
      <c r="E43" s="35"/>
      <c r="F43" s="66"/>
      <c r="G43" s="67"/>
      <c r="H43" s="42">
        <f aca="true" t="shared" si="4" ref="H43:S43">SUM(H37:H42)</f>
        <v>25.38</v>
      </c>
      <c r="I43" s="42">
        <f t="shared" si="4"/>
        <v>35.870000000000005</v>
      </c>
      <c r="J43" s="42">
        <f t="shared" si="4"/>
        <v>99.62</v>
      </c>
      <c r="K43" s="42">
        <f t="shared" si="4"/>
        <v>938</v>
      </c>
      <c r="L43" s="42">
        <f t="shared" si="4"/>
        <v>0.23</v>
      </c>
      <c r="M43" s="42">
        <f t="shared" si="4"/>
        <v>0.44</v>
      </c>
      <c r="N43" s="42">
        <f t="shared" si="4"/>
        <v>24.21</v>
      </c>
      <c r="O43" s="42">
        <f t="shared" si="4"/>
        <v>11.17</v>
      </c>
      <c r="P43" s="42">
        <f t="shared" si="4"/>
        <v>137.67</v>
      </c>
      <c r="Q43" s="42">
        <f t="shared" si="4"/>
        <v>228.69</v>
      </c>
      <c r="R43" s="42">
        <f t="shared" si="4"/>
        <v>462.06999999999994</v>
      </c>
      <c r="S43" s="42">
        <f t="shared" si="4"/>
        <v>10.8</v>
      </c>
    </row>
    <row r="44" spans="1:79" s="75" customFormat="1" ht="12.75">
      <c r="A44" s="150" t="s">
        <v>41</v>
      </c>
      <c r="B44" s="150"/>
      <c r="C44" s="150"/>
      <c r="D44" s="150"/>
      <c r="E44" s="68"/>
      <c r="F44" s="69"/>
      <c r="G44" s="70"/>
      <c r="H44" s="71">
        <f>SUM(H43+H35)</f>
        <v>41.379999999999995</v>
      </c>
      <c r="I44" s="71">
        <f aca="true" t="shared" si="5" ref="I44:S44">SUM(I43+I35)</f>
        <v>56.06666666666667</v>
      </c>
      <c r="J44" s="71">
        <f t="shared" si="5"/>
        <v>170.89</v>
      </c>
      <c r="K44" s="71">
        <f t="shared" si="5"/>
        <v>1470</v>
      </c>
      <c r="L44" s="71">
        <f t="shared" si="5"/>
        <v>0.3866666666666667</v>
      </c>
      <c r="M44" s="71">
        <f t="shared" si="5"/>
        <v>0.77</v>
      </c>
      <c r="N44" s="71">
        <f t="shared" si="5"/>
        <v>25.85666666666667</v>
      </c>
      <c r="O44" s="71">
        <f t="shared" si="5"/>
        <v>12.166666666666666</v>
      </c>
      <c r="P44" s="71">
        <f t="shared" si="5"/>
        <v>494.15999999999997</v>
      </c>
      <c r="Q44" s="71">
        <f t="shared" si="5"/>
        <v>313.43666666666667</v>
      </c>
      <c r="R44" s="71">
        <f t="shared" si="5"/>
        <v>758.91</v>
      </c>
      <c r="S44" s="71">
        <f t="shared" si="5"/>
        <v>13.760000000000002</v>
      </c>
      <c r="T44" s="72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</row>
    <row r="45" spans="1:19" s="56" customFormat="1" ht="12.75">
      <c r="A45" s="81"/>
      <c r="B45" s="81"/>
      <c r="C45" s="81"/>
      <c r="D45" s="81"/>
      <c r="E45" s="82"/>
      <c r="F45" s="83"/>
      <c r="G45" s="83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s="56" customFormat="1" ht="12.75">
      <c r="A46" s="151" t="s">
        <v>1</v>
      </c>
      <c r="B46" s="151"/>
      <c r="C46" s="151"/>
      <c r="D46" s="151"/>
      <c r="E46" s="88"/>
      <c r="F46" s="145" t="s">
        <v>2</v>
      </c>
      <c r="G46" s="145" t="s">
        <v>3</v>
      </c>
      <c r="H46" s="144" t="s">
        <v>4</v>
      </c>
      <c r="I46" s="144"/>
      <c r="J46" s="144"/>
      <c r="K46" s="144"/>
      <c r="L46" s="144" t="s">
        <v>5</v>
      </c>
      <c r="M46" s="144"/>
      <c r="N46" s="144"/>
      <c r="O46" s="144"/>
      <c r="P46" s="144"/>
      <c r="Q46" s="144"/>
      <c r="R46" s="144"/>
      <c r="S46" s="144"/>
    </row>
    <row r="47" spans="1:19" s="56" customFormat="1" ht="25.5">
      <c r="A47" s="151"/>
      <c r="B47" s="151"/>
      <c r="C47" s="151"/>
      <c r="D47" s="151"/>
      <c r="E47" s="87"/>
      <c r="F47" s="145"/>
      <c r="G47" s="145"/>
      <c r="H47" s="90" t="s">
        <v>6</v>
      </c>
      <c r="I47" s="90" t="s">
        <v>7</v>
      </c>
      <c r="J47" s="90" t="s">
        <v>8</v>
      </c>
      <c r="K47" s="91" t="s">
        <v>9</v>
      </c>
      <c r="L47" s="89" t="s">
        <v>10</v>
      </c>
      <c r="M47" s="89" t="s">
        <v>11</v>
      </c>
      <c r="N47" s="89" t="s">
        <v>12</v>
      </c>
      <c r="O47" s="89" t="s">
        <v>13</v>
      </c>
      <c r="P47" s="89" t="s">
        <v>14</v>
      </c>
      <c r="Q47" s="89" t="s">
        <v>15</v>
      </c>
      <c r="R47" s="89" t="s">
        <v>16</v>
      </c>
      <c r="S47" s="89" t="s">
        <v>17</v>
      </c>
    </row>
    <row r="48" spans="1:19" s="56" customFormat="1" ht="12.75">
      <c r="A48" s="152" t="s">
        <v>56</v>
      </c>
      <c r="B48" s="152"/>
      <c r="C48" s="152"/>
      <c r="D48" s="152"/>
      <c r="E48" s="92"/>
      <c r="F48" s="93"/>
      <c r="G48" s="93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19" s="56" customFormat="1" ht="12.75">
      <c r="A49" s="153" t="s">
        <v>19</v>
      </c>
      <c r="B49" s="153"/>
      <c r="C49" s="153"/>
      <c r="D49" s="153"/>
      <c r="E49" s="95"/>
      <c r="F49" s="96"/>
      <c r="G49" s="93" t="s">
        <v>20</v>
      </c>
      <c r="H49" s="94" t="s">
        <v>20</v>
      </c>
      <c r="I49" s="94"/>
      <c r="J49" s="94" t="s">
        <v>20</v>
      </c>
      <c r="K49" s="94" t="s">
        <v>20</v>
      </c>
      <c r="L49" s="97"/>
      <c r="M49" s="97"/>
      <c r="N49" s="97"/>
      <c r="O49" s="97"/>
      <c r="P49" s="97"/>
      <c r="Q49" s="97"/>
      <c r="R49" s="97"/>
      <c r="S49" s="97"/>
    </row>
    <row r="50" spans="1:19" s="56" customFormat="1" ht="12.75">
      <c r="A50" s="146" t="s">
        <v>21</v>
      </c>
      <c r="B50" s="146"/>
      <c r="C50" s="146"/>
      <c r="D50" s="146"/>
      <c r="E50" s="98"/>
      <c r="F50" s="99" t="s">
        <v>22</v>
      </c>
      <c r="G50" s="100">
        <v>15</v>
      </c>
      <c r="H50" s="101">
        <v>0.075</v>
      </c>
      <c r="I50" s="101">
        <v>12.37</v>
      </c>
      <c r="J50" s="101">
        <v>0.08</v>
      </c>
      <c r="K50" s="101">
        <v>112.5</v>
      </c>
      <c r="L50" s="101" t="s">
        <v>23</v>
      </c>
      <c r="M50" s="101">
        <v>0</v>
      </c>
      <c r="N50" s="101">
        <v>0</v>
      </c>
      <c r="O50" s="101">
        <v>0</v>
      </c>
      <c r="P50" s="101">
        <v>1.8</v>
      </c>
      <c r="Q50" s="101">
        <v>0.06</v>
      </c>
      <c r="R50" s="101">
        <v>2.85</v>
      </c>
      <c r="S50" s="101">
        <v>0.03</v>
      </c>
    </row>
    <row r="51" spans="1:19" s="56" customFormat="1" ht="12.75">
      <c r="A51" s="146" t="s">
        <v>59</v>
      </c>
      <c r="B51" s="146"/>
      <c r="C51" s="146"/>
      <c r="D51" s="146"/>
      <c r="E51" s="102"/>
      <c r="F51" s="100" t="s">
        <v>25</v>
      </c>
      <c r="G51" s="100" t="s">
        <v>26</v>
      </c>
      <c r="H51" s="101">
        <f>4.78*200/150</f>
        <v>6.373333333333333</v>
      </c>
      <c r="I51" s="101">
        <f>8.01*200/150</f>
        <v>10.68</v>
      </c>
      <c r="J51" s="101">
        <f>24.11*200/150</f>
        <v>32.14666666666667</v>
      </c>
      <c r="K51" s="101">
        <f>192*200/150</f>
        <v>256</v>
      </c>
      <c r="L51" s="101">
        <v>0.08</v>
      </c>
      <c r="M51" s="101">
        <f>0.07*200/150</f>
        <v>0.09333333333333335</v>
      </c>
      <c r="N51" s="101">
        <f>0.99*200/150</f>
        <v>1.32</v>
      </c>
      <c r="O51" s="101">
        <v>0.7</v>
      </c>
      <c r="P51" s="101">
        <f>97.34*200/150</f>
        <v>129.78666666666666</v>
      </c>
      <c r="Q51" s="101">
        <f>22.08*200/150</f>
        <v>29.44</v>
      </c>
      <c r="R51" s="101">
        <f>103.8*200/150</f>
        <v>138.4</v>
      </c>
      <c r="S51" s="101">
        <f>0.32*200/150</f>
        <v>0.4266666666666667</v>
      </c>
    </row>
    <row r="52" spans="1:19" s="56" customFormat="1" ht="12.75">
      <c r="A52" s="146" t="s">
        <v>60</v>
      </c>
      <c r="B52" s="146"/>
      <c r="C52" s="146"/>
      <c r="D52" s="146"/>
      <c r="E52" s="102"/>
      <c r="F52" s="100" t="s">
        <v>61</v>
      </c>
      <c r="G52" s="100">
        <v>200</v>
      </c>
      <c r="H52" s="101">
        <v>2.5</v>
      </c>
      <c r="I52" s="101">
        <v>3.6</v>
      </c>
      <c r="J52" s="101">
        <v>28.7</v>
      </c>
      <c r="K52" s="101">
        <v>152</v>
      </c>
      <c r="L52" s="101">
        <v>0.02</v>
      </c>
      <c r="M52" s="101">
        <v>1</v>
      </c>
      <c r="N52" s="101">
        <v>0.1</v>
      </c>
      <c r="O52" s="101">
        <v>0</v>
      </c>
      <c r="P52" s="101">
        <v>61</v>
      </c>
      <c r="Q52" s="101">
        <v>45</v>
      </c>
      <c r="R52" s="101">
        <v>7</v>
      </c>
      <c r="S52" s="101">
        <v>1</v>
      </c>
    </row>
    <row r="53" spans="1:19" s="56" customFormat="1" ht="12.75">
      <c r="A53" s="147" t="s">
        <v>29</v>
      </c>
      <c r="B53" s="147"/>
      <c r="C53" s="147"/>
      <c r="D53" s="147"/>
      <c r="E53" s="102"/>
      <c r="F53" s="100"/>
      <c r="G53" s="100">
        <v>50</v>
      </c>
      <c r="H53" s="101">
        <v>3.8</v>
      </c>
      <c r="I53" s="101">
        <v>0.4</v>
      </c>
      <c r="J53" s="101">
        <v>24.3</v>
      </c>
      <c r="K53" s="101">
        <v>119</v>
      </c>
      <c r="L53" s="101">
        <v>0</v>
      </c>
      <c r="M53" s="101">
        <v>0.06</v>
      </c>
      <c r="N53" s="101">
        <v>0</v>
      </c>
      <c r="O53" s="101">
        <v>0.55</v>
      </c>
      <c r="P53" s="101">
        <v>10</v>
      </c>
      <c r="Q53" s="101">
        <v>7</v>
      </c>
      <c r="R53" s="101">
        <v>32.5</v>
      </c>
      <c r="S53" s="101">
        <v>0.55</v>
      </c>
    </row>
    <row r="54" spans="1:19" s="56" customFormat="1" ht="12.75">
      <c r="A54" s="148" t="s">
        <v>30</v>
      </c>
      <c r="B54" s="148"/>
      <c r="C54" s="148"/>
      <c r="D54" s="148"/>
      <c r="E54" s="103"/>
      <c r="F54" s="104"/>
      <c r="G54" s="104" t="s">
        <v>20</v>
      </c>
      <c r="H54" s="105">
        <f aca="true" t="shared" si="6" ref="H54:S54">SUM(H50:H53)</f>
        <v>12.748333333333335</v>
      </c>
      <c r="I54" s="105">
        <f t="shared" si="6"/>
        <v>27.049999999999997</v>
      </c>
      <c r="J54" s="105">
        <f t="shared" si="6"/>
        <v>85.22666666666666</v>
      </c>
      <c r="K54" s="105">
        <f t="shared" si="6"/>
        <v>639.5</v>
      </c>
      <c r="L54" s="105">
        <f t="shared" si="6"/>
        <v>0.1</v>
      </c>
      <c r="M54" s="105">
        <f t="shared" si="6"/>
        <v>1.1533333333333333</v>
      </c>
      <c r="N54" s="105">
        <f t="shared" si="6"/>
        <v>1.4200000000000002</v>
      </c>
      <c r="O54" s="105">
        <f t="shared" si="6"/>
        <v>1.25</v>
      </c>
      <c r="P54" s="105">
        <f t="shared" si="6"/>
        <v>202.58666666666667</v>
      </c>
      <c r="Q54" s="105">
        <f t="shared" si="6"/>
        <v>81.5</v>
      </c>
      <c r="R54" s="105">
        <f t="shared" si="6"/>
        <v>180.75</v>
      </c>
      <c r="S54" s="105">
        <f t="shared" si="6"/>
        <v>2.006666666666667</v>
      </c>
    </row>
    <row r="55" spans="1:19" s="56" customFormat="1" ht="12.75">
      <c r="A55" s="149" t="s">
        <v>31</v>
      </c>
      <c r="B55" s="149"/>
      <c r="C55" s="149"/>
      <c r="D55" s="149"/>
      <c r="E55" s="92"/>
      <c r="F55" s="93"/>
      <c r="G55" s="9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19" s="56" customFormat="1" ht="12.75">
      <c r="A56" s="146"/>
      <c r="B56" s="146"/>
      <c r="C56" s="146"/>
      <c r="D56" s="146"/>
      <c r="E56" s="92"/>
      <c r="F56" s="100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>
        <v>38</v>
      </c>
      <c r="S56" s="101">
        <v>0.9</v>
      </c>
    </row>
    <row r="57" spans="1:19" s="56" customFormat="1" ht="12.75">
      <c r="A57" s="146" t="s">
        <v>62</v>
      </c>
      <c r="B57" s="146"/>
      <c r="C57" s="146"/>
      <c r="D57" s="146"/>
      <c r="E57" s="102"/>
      <c r="F57" s="100" t="s">
        <v>63</v>
      </c>
      <c r="G57" s="100">
        <v>100</v>
      </c>
      <c r="H57" s="101">
        <v>1.6</v>
      </c>
      <c r="I57" s="101">
        <v>5.07</v>
      </c>
      <c r="J57" s="101">
        <v>8.33</v>
      </c>
      <c r="K57" s="101">
        <v>87</v>
      </c>
      <c r="L57" s="101">
        <v>0</v>
      </c>
      <c r="M57" s="101">
        <v>0.07</v>
      </c>
      <c r="N57" s="101">
        <v>25.3</v>
      </c>
      <c r="O57" s="101">
        <v>2.1</v>
      </c>
      <c r="P57" s="101">
        <v>42.08</v>
      </c>
      <c r="Q57" s="101">
        <v>14.36</v>
      </c>
      <c r="R57" s="101">
        <v>30.91</v>
      </c>
      <c r="S57" s="101">
        <v>0.58</v>
      </c>
    </row>
    <row r="58" spans="1:19" s="56" customFormat="1" ht="12.75">
      <c r="A58" s="146" t="s">
        <v>64</v>
      </c>
      <c r="B58" s="146"/>
      <c r="C58" s="146"/>
      <c r="D58" s="146"/>
      <c r="E58" s="102"/>
      <c r="F58" s="100" t="s">
        <v>65</v>
      </c>
      <c r="G58" s="100" t="s">
        <v>49</v>
      </c>
      <c r="H58" s="101">
        <v>2.31</v>
      </c>
      <c r="I58" s="101">
        <v>6.6</v>
      </c>
      <c r="J58" s="101">
        <v>17.36</v>
      </c>
      <c r="K58" s="101">
        <v>135</v>
      </c>
      <c r="L58" s="101">
        <v>0.08</v>
      </c>
      <c r="M58" s="101">
        <v>0.1</v>
      </c>
      <c r="N58" s="101">
        <v>16.79</v>
      </c>
      <c r="O58" s="101">
        <v>0.21</v>
      </c>
      <c r="P58" s="101">
        <v>27.81</v>
      </c>
      <c r="Q58" s="101">
        <v>27.16</v>
      </c>
      <c r="R58" s="101">
        <v>68.4</v>
      </c>
      <c r="S58" s="101">
        <v>1</v>
      </c>
    </row>
    <row r="59" spans="1:19" s="56" customFormat="1" ht="12.75">
      <c r="A59" s="146" t="s">
        <v>66</v>
      </c>
      <c r="B59" s="146"/>
      <c r="C59" s="146"/>
      <c r="D59" s="146"/>
      <c r="E59" s="102"/>
      <c r="F59" s="100" t="s">
        <v>67</v>
      </c>
      <c r="G59" s="100" t="s">
        <v>130</v>
      </c>
      <c r="H59" s="101">
        <v>16.64</v>
      </c>
      <c r="I59" s="101">
        <v>7.09</v>
      </c>
      <c r="J59" s="101">
        <v>3.59</v>
      </c>
      <c r="K59" s="101">
        <v>169</v>
      </c>
      <c r="L59" s="101">
        <v>0.02</v>
      </c>
      <c r="M59" s="101">
        <v>0.03</v>
      </c>
      <c r="N59" s="101">
        <v>1.54</v>
      </c>
      <c r="O59" s="101">
        <v>1.78</v>
      </c>
      <c r="P59" s="101">
        <v>42.49</v>
      </c>
      <c r="Q59" s="101">
        <v>28.25</v>
      </c>
      <c r="R59" s="101">
        <v>194.57</v>
      </c>
      <c r="S59" s="101">
        <v>0.95</v>
      </c>
    </row>
    <row r="60" spans="1:19" s="56" customFormat="1" ht="12.75">
      <c r="A60" s="146" t="s">
        <v>68</v>
      </c>
      <c r="B60" s="146"/>
      <c r="C60" s="146"/>
      <c r="D60" s="146"/>
      <c r="E60" s="102"/>
      <c r="F60" s="100" t="s">
        <v>69</v>
      </c>
      <c r="G60" s="100">
        <v>180</v>
      </c>
      <c r="H60" s="101">
        <v>3.87</v>
      </c>
      <c r="I60" s="101">
        <v>6.68</v>
      </c>
      <c r="J60" s="101">
        <v>26.41</v>
      </c>
      <c r="K60" s="101">
        <v>197</v>
      </c>
      <c r="L60" s="101">
        <v>0.1</v>
      </c>
      <c r="M60" s="101">
        <v>0.35</v>
      </c>
      <c r="N60" s="101">
        <v>31.13</v>
      </c>
      <c r="O60" s="101">
        <v>0.16</v>
      </c>
      <c r="P60" s="101">
        <v>48.55</v>
      </c>
      <c r="Q60" s="101">
        <v>39.21</v>
      </c>
      <c r="R60" s="101">
        <v>114.76</v>
      </c>
      <c r="S60" s="101">
        <v>1.42</v>
      </c>
    </row>
    <row r="61" spans="1:19" s="56" customFormat="1" ht="12.75">
      <c r="A61" s="146" t="s">
        <v>54</v>
      </c>
      <c r="B61" s="146"/>
      <c r="C61" s="146"/>
      <c r="D61" s="146"/>
      <c r="E61" s="102"/>
      <c r="F61" s="100" t="s">
        <v>55</v>
      </c>
      <c r="G61" s="100">
        <v>200</v>
      </c>
      <c r="H61" s="101">
        <v>0.44</v>
      </c>
      <c r="I61" s="101">
        <v>0</v>
      </c>
      <c r="J61" s="101">
        <v>28.88</v>
      </c>
      <c r="K61" s="101">
        <v>116</v>
      </c>
      <c r="L61" s="101">
        <v>0</v>
      </c>
      <c r="M61" s="101">
        <v>0</v>
      </c>
      <c r="N61" s="101">
        <v>0.4</v>
      </c>
      <c r="O61" s="101">
        <v>0</v>
      </c>
      <c r="P61" s="101">
        <v>44.8</v>
      </c>
      <c r="Q61" s="101">
        <v>6</v>
      </c>
      <c r="R61" s="101">
        <v>15.4</v>
      </c>
      <c r="S61" s="101">
        <v>1.26</v>
      </c>
    </row>
    <row r="62" spans="1:19" s="56" customFormat="1" ht="12.75">
      <c r="A62" s="147" t="s">
        <v>40</v>
      </c>
      <c r="B62" s="147"/>
      <c r="C62" s="147"/>
      <c r="D62" s="147"/>
      <c r="E62" s="102"/>
      <c r="F62" s="100"/>
      <c r="G62" s="100">
        <v>60</v>
      </c>
      <c r="H62" s="101">
        <v>2.82</v>
      </c>
      <c r="I62" s="101">
        <v>0.6</v>
      </c>
      <c r="J62" s="101">
        <v>0.6</v>
      </c>
      <c r="K62" s="101">
        <v>126</v>
      </c>
      <c r="L62" s="101">
        <v>0</v>
      </c>
      <c r="M62" s="101">
        <v>0.08</v>
      </c>
      <c r="N62" s="101">
        <v>0</v>
      </c>
      <c r="O62" s="101">
        <v>0.78</v>
      </c>
      <c r="P62" s="101">
        <v>14.4</v>
      </c>
      <c r="Q62" s="101">
        <v>11.4</v>
      </c>
      <c r="R62" s="101">
        <v>52.2</v>
      </c>
      <c r="S62" s="101">
        <v>2.24</v>
      </c>
    </row>
    <row r="63" spans="1:19" s="56" customFormat="1" ht="12.75">
      <c r="A63" s="154" t="s">
        <v>30</v>
      </c>
      <c r="B63" s="154"/>
      <c r="C63" s="154"/>
      <c r="D63" s="154"/>
      <c r="E63" s="106"/>
      <c r="F63" s="107"/>
      <c r="G63" s="107"/>
      <c r="H63" s="105">
        <f aca="true" t="shared" si="7" ref="H63:S63">SUM(H57:H62)</f>
        <v>27.680000000000003</v>
      </c>
      <c r="I63" s="105">
        <f t="shared" si="7"/>
        <v>26.04</v>
      </c>
      <c r="J63" s="105">
        <f t="shared" si="7"/>
        <v>85.16999999999999</v>
      </c>
      <c r="K63" s="105">
        <f t="shared" si="7"/>
        <v>830</v>
      </c>
      <c r="L63" s="105">
        <f t="shared" si="7"/>
        <v>0.2</v>
      </c>
      <c r="M63" s="105">
        <f t="shared" si="7"/>
        <v>0.63</v>
      </c>
      <c r="N63" s="105">
        <f t="shared" si="7"/>
        <v>75.16000000000001</v>
      </c>
      <c r="O63" s="105">
        <f t="shared" si="7"/>
        <v>5.03</v>
      </c>
      <c r="P63" s="105">
        <f t="shared" si="7"/>
        <v>220.13000000000002</v>
      </c>
      <c r="Q63" s="105">
        <f t="shared" si="7"/>
        <v>126.38</v>
      </c>
      <c r="R63" s="105">
        <f t="shared" si="7"/>
        <v>476.23999999999995</v>
      </c>
      <c r="S63" s="105">
        <f t="shared" si="7"/>
        <v>7.45</v>
      </c>
    </row>
    <row r="64" spans="1:19" s="56" customFormat="1" ht="12.75">
      <c r="A64" s="155" t="s">
        <v>41</v>
      </c>
      <c r="B64" s="155"/>
      <c r="C64" s="155"/>
      <c r="D64" s="155"/>
      <c r="E64" s="108"/>
      <c r="F64" s="109"/>
      <c r="G64" s="109"/>
      <c r="H64" s="110">
        <f>SUM(H54+H63)</f>
        <v>40.42833333333334</v>
      </c>
      <c r="I64" s="110">
        <f aca="true" t="shared" si="8" ref="I64:S64">SUM(I54+I63)</f>
        <v>53.089999999999996</v>
      </c>
      <c r="J64" s="110">
        <f t="shared" si="8"/>
        <v>170.39666666666665</v>
      </c>
      <c r="K64" s="110">
        <f t="shared" si="8"/>
        <v>1469.5</v>
      </c>
      <c r="L64" s="110">
        <f t="shared" si="8"/>
        <v>0.30000000000000004</v>
      </c>
      <c r="M64" s="110">
        <f t="shared" si="8"/>
        <v>1.7833333333333332</v>
      </c>
      <c r="N64" s="110">
        <f t="shared" si="8"/>
        <v>76.58000000000001</v>
      </c>
      <c r="O64" s="110">
        <f t="shared" si="8"/>
        <v>6.28</v>
      </c>
      <c r="P64" s="110">
        <f t="shared" si="8"/>
        <v>422.7166666666667</v>
      </c>
      <c r="Q64" s="110">
        <f t="shared" si="8"/>
        <v>207.88</v>
      </c>
      <c r="R64" s="110">
        <f t="shared" si="8"/>
        <v>656.99</v>
      </c>
      <c r="S64" s="110">
        <f t="shared" si="8"/>
        <v>9.456666666666667</v>
      </c>
    </row>
    <row r="65" spans="1:19" s="56" customFormat="1" ht="12.75">
      <c r="A65" s="152" t="s">
        <v>70</v>
      </c>
      <c r="B65" s="152"/>
      <c r="C65" s="152"/>
      <c r="D65" s="152"/>
      <c r="E65" s="92"/>
      <c r="F65" s="93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1:19" s="56" customFormat="1" ht="12.75">
      <c r="A66" s="153" t="s">
        <v>19</v>
      </c>
      <c r="B66" s="153"/>
      <c r="C66" s="153"/>
      <c r="D66" s="153"/>
      <c r="E66" s="95"/>
      <c r="F66" s="96"/>
      <c r="G66" s="93" t="s">
        <v>20</v>
      </c>
      <c r="H66" s="94" t="s">
        <v>20</v>
      </c>
      <c r="I66" s="94"/>
      <c r="J66" s="94" t="s">
        <v>20</v>
      </c>
      <c r="K66" s="94" t="s">
        <v>20</v>
      </c>
      <c r="L66" s="97"/>
      <c r="M66" s="97"/>
      <c r="N66" s="97"/>
      <c r="O66" s="97"/>
      <c r="P66" s="97"/>
      <c r="Q66" s="97"/>
      <c r="R66" s="97"/>
      <c r="S66" s="97"/>
    </row>
    <row r="67" spans="1:19" s="56" customFormat="1" ht="12.75">
      <c r="A67" s="146" t="s">
        <v>21</v>
      </c>
      <c r="B67" s="146"/>
      <c r="C67" s="146"/>
      <c r="D67" s="146"/>
      <c r="E67" s="98"/>
      <c r="F67" s="99" t="s">
        <v>22</v>
      </c>
      <c r="G67" s="100">
        <v>15</v>
      </c>
      <c r="H67" s="101">
        <v>0.075</v>
      </c>
      <c r="I67" s="101">
        <v>12.37</v>
      </c>
      <c r="J67" s="101">
        <v>0.08</v>
      </c>
      <c r="K67" s="101">
        <v>112.5</v>
      </c>
      <c r="L67" s="101" t="s">
        <v>23</v>
      </c>
      <c r="M67" s="101">
        <v>0</v>
      </c>
      <c r="N67" s="101">
        <v>0</v>
      </c>
      <c r="O67" s="101">
        <v>0</v>
      </c>
      <c r="P67" s="101">
        <v>1.8</v>
      </c>
      <c r="Q67" s="101">
        <v>0.06</v>
      </c>
      <c r="R67" s="101">
        <v>2.85</v>
      </c>
      <c r="S67" s="101">
        <v>0.03</v>
      </c>
    </row>
    <row r="68" spans="1:19" s="56" customFormat="1" ht="12.75">
      <c r="A68" s="146" t="s">
        <v>71</v>
      </c>
      <c r="B68" s="146"/>
      <c r="C68" s="146"/>
      <c r="D68" s="146"/>
      <c r="E68" s="102"/>
      <c r="F68" s="100" t="s">
        <v>25</v>
      </c>
      <c r="G68" s="100" t="s">
        <v>26</v>
      </c>
      <c r="H68" s="101">
        <f>8.5*200/220</f>
        <v>7.7272727272727275</v>
      </c>
      <c r="I68" s="101">
        <v>4.65</v>
      </c>
      <c r="J68" s="101">
        <f>33*200/220</f>
        <v>30</v>
      </c>
      <c r="K68" s="101">
        <f>273*200/220</f>
        <v>248.1818181818182</v>
      </c>
      <c r="L68" s="101">
        <f>0.08*200/220</f>
        <v>0.07272727272727272</v>
      </c>
      <c r="M68" s="101">
        <f>0.31*200/220</f>
        <v>0.2818181818181818</v>
      </c>
      <c r="N68" s="101">
        <f>1.44*200/220</f>
        <v>1.309090909090909</v>
      </c>
      <c r="O68" s="101">
        <f>0.72*200/220</f>
        <v>0.6545454545454545</v>
      </c>
      <c r="P68" s="101">
        <f>222.03*200/200</f>
        <v>222.03</v>
      </c>
      <c r="Q68" s="101">
        <f>79.59*200/220</f>
        <v>72.35454545454546</v>
      </c>
      <c r="R68" s="101">
        <f>171.48*200/220</f>
        <v>155.8909090909091</v>
      </c>
      <c r="S68" s="101">
        <f>2.27*200/220</f>
        <v>2.0636363636363635</v>
      </c>
    </row>
    <row r="69" spans="1:19" s="56" customFormat="1" ht="12.75">
      <c r="A69" s="146" t="s">
        <v>72</v>
      </c>
      <c r="B69" s="146"/>
      <c r="C69" s="146"/>
      <c r="D69" s="146"/>
      <c r="E69" s="102"/>
      <c r="F69" s="100" t="s">
        <v>73</v>
      </c>
      <c r="G69" s="100">
        <v>200</v>
      </c>
      <c r="H69" s="101">
        <v>1.6</v>
      </c>
      <c r="I69" s="101">
        <v>1.65</v>
      </c>
      <c r="J69" s="101">
        <v>17.36</v>
      </c>
      <c r="K69" s="101">
        <v>86</v>
      </c>
      <c r="L69" s="101">
        <v>0.02</v>
      </c>
      <c r="M69" s="101">
        <v>0.02</v>
      </c>
      <c r="N69" s="101">
        <v>0.75</v>
      </c>
      <c r="O69" s="101">
        <v>0</v>
      </c>
      <c r="P69" s="101">
        <v>65.25</v>
      </c>
      <c r="Q69" s="101">
        <v>11.4</v>
      </c>
      <c r="R69" s="101">
        <v>53.24</v>
      </c>
      <c r="S69" s="101">
        <v>0.9</v>
      </c>
    </row>
    <row r="70" spans="1:19" s="56" customFormat="1" ht="12.75">
      <c r="A70" s="147" t="s">
        <v>29</v>
      </c>
      <c r="B70" s="147"/>
      <c r="C70" s="147"/>
      <c r="D70" s="147"/>
      <c r="E70" s="102"/>
      <c r="F70" s="100"/>
      <c r="G70" s="100">
        <v>50</v>
      </c>
      <c r="H70" s="101">
        <v>3.8</v>
      </c>
      <c r="I70" s="101">
        <v>0.4</v>
      </c>
      <c r="J70" s="101">
        <v>24.3</v>
      </c>
      <c r="K70" s="101">
        <v>119</v>
      </c>
      <c r="L70" s="101">
        <v>0</v>
      </c>
      <c r="M70" s="101">
        <v>0.06</v>
      </c>
      <c r="N70" s="101">
        <v>0</v>
      </c>
      <c r="O70" s="101">
        <v>0.55</v>
      </c>
      <c r="P70" s="101">
        <v>10</v>
      </c>
      <c r="Q70" s="101">
        <v>7</v>
      </c>
      <c r="R70" s="101">
        <v>32.5</v>
      </c>
      <c r="S70" s="101">
        <v>0.55</v>
      </c>
    </row>
    <row r="71" spans="1:19" s="56" customFormat="1" ht="12.75">
      <c r="A71" s="148" t="s">
        <v>30</v>
      </c>
      <c r="B71" s="148"/>
      <c r="C71" s="148"/>
      <c r="D71" s="148"/>
      <c r="E71" s="103"/>
      <c r="F71" s="104"/>
      <c r="G71" s="104" t="s">
        <v>20</v>
      </c>
      <c r="H71" s="105">
        <f>SUM(H67:H70)</f>
        <v>13.202272727272728</v>
      </c>
      <c r="I71" s="105">
        <f>SUM(I67:I70)</f>
        <v>19.069999999999997</v>
      </c>
      <c r="J71" s="105">
        <f>SUM(J67:J70)</f>
        <v>71.74</v>
      </c>
      <c r="K71" s="105">
        <f>SUM(K67:K70)</f>
        <v>565.6818181818182</v>
      </c>
      <c r="L71" s="105">
        <v>0.24</v>
      </c>
      <c r="M71" s="105">
        <f aca="true" t="shared" si="9" ref="M71:S71">SUM(M67:M70)</f>
        <v>0.3618181818181818</v>
      </c>
      <c r="N71" s="105">
        <f t="shared" si="9"/>
        <v>2.059090909090909</v>
      </c>
      <c r="O71" s="105">
        <f t="shared" si="9"/>
        <v>1.2045454545454546</v>
      </c>
      <c r="P71" s="105">
        <f t="shared" si="9"/>
        <v>299.08000000000004</v>
      </c>
      <c r="Q71" s="105">
        <f t="shared" si="9"/>
        <v>90.81454545454547</v>
      </c>
      <c r="R71" s="105">
        <f t="shared" si="9"/>
        <v>244.4809090909091</v>
      </c>
      <c r="S71" s="105">
        <f t="shared" si="9"/>
        <v>3.543636363636363</v>
      </c>
    </row>
    <row r="72" spans="1:19" s="56" customFormat="1" ht="12.75">
      <c r="A72" s="151" t="s">
        <v>1</v>
      </c>
      <c r="B72" s="151"/>
      <c r="C72" s="151"/>
      <c r="D72" s="151"/>
      <c r="E72" s="88"/>
      <c r="F72" s="145" t="s">
        <v>2</v>
      </c>
      <c r="G72" s="145" t="s">
        <v>3</v>
      </c>
      <c r="H72" s="144" t="s">
        <v>4</v>
      </c>
      <c r="I72" s="144"/>
      <c r="J72" s="144"/>
      <c r="K72" s="144"/>
      <c r="L72" s="144" t="s">
        <v>5</v>
      </c>
      <c r="M72" s="144"/>
      <c r="N72" s="144"/>
      <c r="O72" s="144"/>
      <c r="P72" s="144"/>
      <c r="Q72" s="144"/>
      <c r="R72" s="144"/>
      <c r="S72" s="144"/>
    </row>
    <row r="73" spans="1:19" s="56" customFormat="1" ht="25.5">
      <c r="A73" s="151"/>
      <c r="B73" s="151"/>
      <c r="C73" s="151"/>
      <c r="D73" s="151"/>
      <c r="E73" s="87"/>
      <c r="F73" s="145"/>
      <c r="G73" s="145"/>
      <c r="H73" s="90" t="s">
        <v>6</v>
      </c>
      <c r="I73" s="90" t="s">
        <v>7</v>
      </c>
      <c r="J73" s="90" t="s">
        <v>8</v>
      </c>
      <c r="K73" s="91" t="s">
        <v>9</v>
      </c>
      <c r="L73" s="89" t="s">
        <v>10</v>
      </c>
      <c r="M73" s="89" t="s">
        <v>11</v>
      </c>
      <c r="N73" s="89" t="s">
        <v>12</v>
      </c>
      <c r="O73" s="89" t="s">
        <v>13</v>
      </c>
      <c r="P73" s="89" t="s">
        <v>14</v>
      </c>
      <c r="Q73" s="89" t="s">
        <v>15</v>
      </c>
      <c r="R73" s="89" t="s">
        <v>16</v>
      </c>
      <c r="S73" s="89" t="s">
        <v>17</v>
      </c>
    </row>
    <row r="74" spans="1:19" s="56" customFormat="1" ht="12.75">
      <c r="A74" s="149" t="s">
        <v>31</v>
      </c>
      <c r="B74" s="149"/>
      <c r="C74" s="149"/>
      <c r="D74" s="149"/>
      <c r="E74" s="92"/>
      <c r="F74" s="93"/>
      <c r="G74" s="93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1:19" s="56" customFormat="1" ht="12.75">
      <c r="A75" s="146" t="s">
        <v>115</v>
      </c>
      <c r="B75" s="146"/>
      <c r="C75" s="146"/>
      <c r="D75" s="146"/>
      <c r="E75" s="102"/>
      <c r="F75" s="100" t="s">
        <v>116</v>
      </c>
      <c r="G75" s="100">
        <v>100</v>
      </c>
      <c r="H75" s="101">
        <v>1.06</v>
      </c>
      <c r="I75" s="101">
        <v>10.13</v>
      </c>
      <c r="J75" s="101">
        <v>4.52</v>
      </c>
      <c r="K75" s="101">
        <v>114</v>
      </c>
      <c r="L75" s="101">
        <v>0.85</v>
      </c>
      <c r="M75" s="101">
        <v>0.05</v>
      </c>
      <c r="N75" s="101">
        <v>19.75</v>
      </c>
      <c r="O75" s="101">
        <v>4.94</v>
      </c>
      <c r="P75" s="101">
        <v>16.14</v>
      </c>
      <c r="Q75" s="101">
        <v>17</v>
      </c>
      <c r="R75" s="101">
        <v>14.06</v>
      </c>
      <c r="S75" s="101">
        <v>0.8</v>
      </c>
    </row>
    <row r="76" spans="1:19" s="56" customFormat="1" ht="12.75">
      <c r="A76" s="146" t="s">
        <v>74</v>
      </c>
      <c r="B76" s="146"/>
      <c r="C76" s="146"/>
      <c r="D76" s="146"/>
      <c r="E76" s="102"/>
      <c r="F76" s="100" t="s">
        <v>75</v>
      </c>
      <c r="G76" s="100" t="s">
        <v>49</v>
      </c>
      <c r="H76" s="101">
        <v>1.8</v>
      </c>
      <c r="I76" s="101">
        <v>5.57</v>
      </c>
      <c r="J76" s="101">
        <v>7.77</v>
      </c>
      <c r="K76" s="101">
        <v>93</v>
      </c>
      <c r="L76" s="101">
        <v>0.05</v>
      </c>
      <c r="M76" s="101">
        <v>0.05</v>
      </c>
      <c r="N76" s="101">
        <v>18.29</v>
      </c>
      <c r="O76" s="101">
        <v>0.17</v>
      </c>
      <c r="P76" s="101">
        <v>49.45</v>
      </c>
      <c r="Q76" s="101">
        <v>21.52</v>
      </c>
      <c r="R76" s="101">
        <v>50.65</v>
      </c>
      <c r="S76" s="101">
        <v>0.83</v>
      </c>
    </row>
    <row r="77" spans="1:19" s="56" customFormat="1" ht="12.75">
      <c r="A77" s="146" t="s">
        <v>125</v>
      </c>
      <c r="B77" s="146"/>
      <c r="C77" s="146"/>
      <c r="D77" s="146"/>
      <c r="E77" s="102"/>
      <c r="F77" s="100" t="s">
        <v>97</v>
      </c>
      <c r="G77" s="100" t="s">
        <v>130</v>
      </c>
      <c r="H77" s="101">
        <v>10.96</v>
      </c>
      <c r="I77" s="101">
        <v>11.54</v>
      </c>
      <c r="J77" s="101">
        <v>33.12</v>
      </c>
      <c r="K77" s="101">
        <v>201</v>
      </c>
      <c r="L77" s="101">
        <v>0</v>
      </c>
      <c r="M77" s="101">
        <v>0.07</v>
      </c>
      <c r="N77" s="101">
        <v>1.31</v>
      </c>
      <c r="O77" s="101">
        <v>2.56</v>
      </c>
      <c r="P77" s="101">
        <v>29.3</v>
      </c>
      <c r="Q77" s="101">
        <v>9.15</v>
      </c>
      <c r="R77" s="101">
        <v>63.82</v>
      </c>
      <c r="S77" s="101">
        <v>0.61</v>
      </c>
    </row>
    <row r="78" spans="1:19" s="56" customFormat="1" ht="12.75">
      <c r="A78" s="146" t="s">
        <v>117</v>
      </c>
      <c r="B78" s="146"/>
      <c r="C78" s="146"/>
      <c r="D78" s="146"/>
      <c r="E78" s="102"/>
      <c r="F78" s="100" t="s">
        <v>25</v>
      </c>
      <c r="G78" s="100">
        <v>180</v>
      </c>
      <c r="H78" s="101">
        <f>3.7*1.2</f>
        <v>4.44</v>
      </c>
      <c r="I78" s="101">
        <f>6.97*1.2</f>
        <v>8.363999999999999</v>
      </c>
      <c r="J78" s="101">
        <v>29.18</v>
      </c>
      <c r="K78" s="101">
        <f>142*1.2</f>
        <v>170.4</v>
      </c>
      <c r="L78" s="101">
        <f>0.03*1.2</f>
        <v>0.036</v>
      </c>
      <c r="M78" s="101">
        <f>0.11*1.2</f>
        <v>0.132</v>
      </c>
      <c r="N78" s="101">
        <f>0.61*1.2</f>
        <v>0.732</v>
      </c>
      <c r="O78" s="101">
        <f>0.21*1.2</f>
        <v>0.252</v>
      </c>
      <c r="P78" s="101">
        <f>56.02*1.2</f>
        <v>67.224</v>
      </c>
      <c r="Q78" s="101">
        <f>34.38*1.2</f>
        <v>41.256</v>
      </c>
      <c r="R78" s="101">
        <f>110.89*1.2</f>
        <v>133.06799999999998</v>
      </c>
      <c r="S78" s="101">
        <f>0.83*1.2</f>
        <v>0.9959999999999999</v>
      </c>
    </row>
    <row r="79" spans="1:19" s="56" customFormat="1" ht="12.75">
      <c r="A79" s="146" t="s">
        <v>78</v>
      </c>
      <c r="B79" s="146"/>
      <c r="C79" s="146"/>
      <c r="D79" s="146"/>
      <c r="E79" s="102"/>
      <c r="F79" s="100" t="s">
        <v>79</v>
      </c>
      <c r="G79" s="100">
        <v>200</v>
      </c>
      <c r="H79" s="101">
        <v>0.16</v>
      </c>
      <c r="I79" s="101">
        <v>0.16</v>
      </c>
      <c r="J79" s="101">
        <v>27.87</v>
      </c>
      <c r="K79" s="101">
        <v>109</v>
      </c>
      <c r="L79" s="101">
        <v>0.01</v>
      </c>
      <c r="M79" s="101">
        <v>0.01</v>
      </c>
      <c r="N79" s="101">
        <v>6.6</v>
      </c>
      <c r="O79" s="101">
        <v>0.08</v>
      </c>
      <c r="P79" s="101">
        <v>6.88</v>
      </c>
      <c r="Q79" s="101">
        <v>3.6</v>
      </c>
      <c r="R79" s="101">
        <v>4.4</v>
      </c>
      <c r="S79" s="101">
        <v>0.95</v>
      </c>
    </row>
    <row r="80" spans="1:19" s="56" customFormat="1" ht="12.75">
      <c r="A80" s="147" t="s">
        <v>40</v>
      </c>
      <c r="B80" s="147"/>
      <c r="C80" s="147"/>
      <c r="D80" s="147"/>
      <c r="E80" s="102"/>
      <c r="F80" s="100"/>
      <c r="G80" s="100">
        <v>60</v>
      </c>
      <c r="H80" s="101">
        <v>2.82</v>
      </c>
      <c r="I80" s="101">
        <v>0.6</v>
      </c>
      <c r="J80" s="101">
        <v>0.6</v>
      </c>
      <c r="K80" s="101">
        <v>126</v>
      </c>
      <c r="L80" s="101">
        <v>0</v>
      </c>
      <c r="M80" s="101">
        <v>0.04</v>
      </c>
      <c r="N80" s="101">
        <v>0</v>
      </c>
      <c r="O80" s="101">
        <v>0.78</v>
      </c>
      <c r="P80" s="101">
        <v>14.4</v>
      </c>
      <c r="Q80" s="101">
        <v>11.4</v>
      </c>
      <c r="R80" s="101">
        <v>52.2</v>
      </c>
      <c r="S80" s="101">
        <v>2.24</v>
      </c>
    </row>
    <row r="81" spans="1:19" s="112" customFormat="1" ht="12.75">
      <c r="A81" s="156" t="s">
        <v>30</v>
      </c>
      <c r="B81" s="156"/>
      <c r="C81" s="156"/>
      <c r="D81" s="156"/>
      <c r="E81" s="113"/>
      <c r="F81" s="114"/>
      <c r="G81" s="114"/>
      <c r="H81" s="115">
        <f aca="true" t="shared" si="10" ref="H81:S81">SUM(H75:H80)</f>
        <v>21.240000000000002</v>
      </c>
      <c r="I81" s="115">
        <f>SUM(I75:I80)</f>
        <v>36.364</v>
      </c>
      <c r="J81" s="115">
        <f t="shared" si="10"/>
        <v>103.06</v>
      </c>
      <c r="K81" s="115">
        <f t="shared" si="10"/>
        <v>813.4</v>
      </c>
      <c r="L81" s="115">
        <f t="shared" si="10"/>
        <v>0.9460000000000001</v>
      </c>
      <c r="M81" s="115">
        <f t="shared" si="10"/>
        <v>0.35200000000000004</v>
      </c>
      <c r="N81" s="115">
        <f t="shared" si="10"/>
        <v>46.682</v>
      </c>
      <c r="O81" s="115">
        <f t="shared" si="10"/>
        <v>8.781999999999998</v>
      </c>
      <c r="P81" s="115">
        <f t="shared" si="10"/>
        <v>183.394</v>
      </c>
      <c r="Q81" s="115">
        <f t="shared" si="10"/>
        <v>103.92599999999999</v>
      </c>
      <c r="R81" s="115">
        <f t="shared" si="10"/>
        <v>318.1979999999999</v>
      </c>
      <c r="S81" s="115">
        <f t="shared" si="10"/>
        <v>6.426</v>
      </c>
    </row>
    <row r="82" spans="1:19" s="112" customFormat="1" ht="12.75">
      <c r="A82" s="157" t="s">
        <v>41</v>
      </c>
      <c r="B82" s="157"/>
      <c r="C82" s="157"/>
      <c r="D82" s="157"/>
      <c r="E82" s="116"/>
      <c r="F82" s="117"/>
      <c r="G82" s="117"/>
      <c r="H82" s="118">
        <f>SUM(H71+H81)</f>
        <v>34.44227272727273</v>
      </c>
      <c r="I82" s="118">
        <f aca="true" t="shared" si="11" ref="I82:S82">SUM(I71+I81)</f>
        <v>55.434</v>
      </c>
      <c r="J82" s="118">
        <f t="shared" si="11"/>
        <v>174.8</v>
      </c>
      <c r="K82" s="118">
        <f t="shared" si="11"/>
        <v>1379.081818181818</v>
      </c>
      <c r="L82" s="118">
        <f t="shared" si="11"/>
        <v>1.186</v>
      </c>
      <c r="M82" s="118">
        <f t="shared" si="11"/>
        <v>0.7138181818181819</v>
      </c>
      <c r="N82" s="118">
        <f t="shared" si="11"/>
        <v>48.741090909090914</v>
      </c>
      <c r="O82" s="118">
        <f t="shared" si="11"/>
        <v>9.986545454545453</v>
      </c>
      <c r="P82" s="118">
        <f t="shared" si="11"/>
        <v>482.47400000000005</v>
      </c>
      <c r="Q82" s="118">
        <f t="shared" si="11"/>
        <v>194.74054545454544</v>
      </c>
      <c r="R82" s="118">
        <f t="shared" si="11"/>
        <v>562.678909090909</v>
      </c>
      <c r="S82" s="118">
        <f t="shared" si="11"/>
        <v>9.969636363636363</v>
      </c>
    </row>
    <row r="83" spans="1:19" s="56" customFormat="1" ht="12.75">
      <c r="A83" s="111"/>
      <c r="B83" s="111"/>
      <c r="C83" s="111"/>
      <c r="D83" s="111"/>
      <c r="E83" s="92"/>
      <c r="F83" s="93"/>
      <c r="G83" s="93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1:19" s="56" customFormat="1" ht="12.75">
      <c r="A84" s="152" t="s">
        <v>80</v>
      </c>
      <c r="B84" s="152"/>
      <c r="C84" s="152"/>
      <c r="D84" s="152"/>
      <c r="E84" s="92"/>
      <c r="F84" s="93"/>
      <c r="G84" s="93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1:19" s="56" customFormat="1" ht="12.75">
      <c r="A85" s="153" t="s">
        <v>19</v>
      </c>
      <c r="B85" s="153"/>
      <c r="C85" s="153"/>
      <c r="D85" s="153"/>
      <c r="E85" s="95"/>
      <c r="F85" s="96"/>
      <c r="G85" s="93" t="s">
        <v>20</v>
      </c>
      <c r="H85" s="94" t="s">
        <v>20</v>
      </c>
      <c r="I85" s="94"/>
      <c r="J85" s="94" t="s">
        <v>20</v>
      </c>
      <c r="K85" s="94" t="s">
        <v>20</v>
      </c>
      <c r="L85" s="97"/>
      <c r="M85" s="97"/>
      <c r="N85" s="97"/>
      <c r="O85" s="97"/>
      <c r="P85" s="97"/>
      <c r="Q85" s="97"/>
      <c r="R85" s="97"/>
      <c r="S85" s="97"/>
    </row>
    <row r="86" spans="1:19" s="56" customFormat="1" ht="12.75">
      <c r="A86" s="146" t="s">
        <v>43</v>
      </c>
      <c r="B86" s="146"/>
      <c r="C86" s="146"/>
      <c r="D86" s="146"/>
      <c r="E86" s="98"/>
      <c r="F86" s="99" t="s">
        <v>22</v>
      </c>
      <c r="G86" s="100">
        <v>20</v>
      </c>
      <c r="H86" s="101">
        <v>4.6</v>
      </c>
      <c r="I86" s="101">
        <v>5.8</v>
      </c>
      <c r="J86" s="101">
        <v>0</v>
      </c>
      <c r="K86" s="101">
        <v>72</v>
      </c>
      <c r="L86" s="101">
        <v>0.09</v>
      </c>
      <c r="M86" s="101">
        <v>0.07</v>
      </c>
      <c r="N86" s="101">
        <v>0.32</v>
      </c>
      <c r="O86" s="101">
        <v>0.1</v>
      </c>
      <c r="P86" s="101">
        <v>200</v>
      </c>
      <c r="Q86" s="101">
        <v>10</v>
      </c>
      <c r="R86" s="101">
        <v>108</v>
      </c>
      <c r="S86" s="101">
        <v>0.22</v>
      </c>
    </row>
    <row r="87" spans="1:19" s="56" customFormat="1" ht="12.75">
      <c r="A87" s="146" t="s">
        <v>81</v>
      </c>
      <c r="B87" s="146"/>
      <c r="C87" s="146"/>
      <c r="D87" s="146"/>
      <c r="E87" s="102"/>
      <c r="F87" s="100" t="s">
        <v>25</v>
      </c>
      <c r="G87" s="100" t="s">
        <v>26</v>
      </c>
      <c r="H87" s="101">
        <f>21.55*200/220</f>
        <v>19.59090909090909</v>
      </c>
      <c r="I87" s="101">
        <f>15.84*200/220</f>
        <v>14.4</v>
      </c>
      <c r="J87" s="101">
        <f>28.86*200/220</f>
        <v>26.236363636363638</v>
      </c>
      <c r="K87" s="101">
        <f>317*200/220</f>
        <v>288.1818181818182</v>
      </c>
      <c r="L87" s="101">
        <f>0.09*200/220</f>
        <v>0.08181818181818182</v>
      </c>
      <c r="M87" s="101">
        <f>0.27*200/220</f>
        <v>0.24545454545454545</v>
      </c>
      <c r="N87" s="101">
        <f>1.44*200/220</f>
        <v>1.309090909090909</v>
      </c>
      <c r="O87" s="101">
        <f>0.14*200/220</f>
        <v>0.1272727272727273</v>
      </c>
      <c r="P87" s="101">
        <f>201.68*200/220</f>
        <v>183.34545454545454</v>
      </c>
      <c r="Q87" s="101">
        <f>61.44*200/220</f>
        <v>55.85454545454545</v>
      </c>
      <c r="R87" s="101">
        <f>181.01*200/220</f>
        <v>164.55454545454546</v>
      </c>
      <c r="S87" s="101">
        <f>1.61*200/220</f>
        <v>1.4636363636363636</v>
      </c>
    </row>
    <row r="88" spans="1:19" s="56" customFormat="1" ht="12.75">
      <c r="A88" s="146" t="s">
        <v>27</v>
      </c>
      <c r="B88" s="146"/>
      <c r="C88" s="146"/>
      <c r="D88" s="146"/>
      <c r="E88" s="102"/>
      <c r="F88" s="100" t="s">
        <v>28</v>
      </c>
      <c r="G88" s="100">
        <v>200</v>
      </c>
      <c r="H88" s="101">
        <v>0.26</v>
      </c>
      <c r="I88" s="101">
        <v>0.06</v>
      </c>
      <c r="J88" s="101">
        <v>15.22</v>
      </c>
      <c r="K88" s="101">
        <v>59</v>
      </c>
      <c r="L88" s="101">
        <v>0</v>
      </c>
      <c r="M88" s="101">
        <v>0</v>
      </c>
      <c r="N88" s="101">
        <v>2.9</v>
      </c>
      <c r="O88" s="101">
        <v>0</v>
      </c>
      <c r="P88" s="101">
        <v>8.05</v>
      </c>
      <c r="Q88" s="101">
        <v>5.24</v>
      </c>
      <c r="R88" s="101">
        <v>9.78</v>
      </c>
      <c r="S88" s="101">
        <v>0.91</v>
      </c>
    </row>
    <row r="89" spans="1:19" s="56" customFormat="1" ht="12.75">
      <c r="A89" s="147" t="s">
        <v>29</v>
      </c>
      <c r="B89" s="147"/>
      <c r="C89" s="147"/>
      <c r="D89" s="147"/>
      <c r="E89" s="102"/>
      <c r="F89" s="100"/>
      <c r="G89" s="100">
        <v>50</v>
      </c>
      <c r="H89" s="101">
        <v>3.8</v>
      </c>
      <c r="I89" s="101">
        <v>0.4</v>
      </c>
      <c r="J89" s="101">
        <v>24.3</v>
      </c>
      <c r="K89" s="101">
        <v>119</v>
      </c>
      <c r="L89" s="101">
        <v>0</v>
      </c>
      <c r="M89" s="101">
        <v>0.06</v>
      </c>
      <c r="N89" s="101">
        <v>0</v>
      </c>
      <c r="O89" s="101">
        <v>0.55</v>
      </c>
      <c r="P89" s="101">
        <v>10</v>
      </c>
      <c r="Q89" s="101">
        <v>7</v>
      </c>
      <c r="R89" s="101">
        <v>32.5</v>
      </c>
      <c r="S89" s="101">
        <v>0.55</v>
      </c>
    </row>
    <row r="90" spans="1:19" s="56" customFormat="1" ht="12.75">
      <c r="A90" s="148" t="s">
        <v>30</v>
      </c>
      <c r="B90" s="148"/>
      <c r="C90" s="148"/>
      <c r="D90" s="148"/>
      <c r="E90" s="103"/>
      <c r="F90" s="104"/>
      <c r="G90" s="104" t="s">
        <v>20</v>
      </c>
      <c r="H90" s="105">
        <f>H86+H87+H88+H89</f>
        <v>28.25090909090909</v>
      </c>
      <c r="I90" s="105">
        <f aca="true" t="shared" si="12" ref="I90:S90">SUM(I86:I89)</f>
        <v>20.659999999999997</v>
      </c>
      <c r="J90" s="105">
        <f t="shared" si="12"/>
        <v>65.75636363636364</v>
      </c>
      <c r="K90" s="105">
        <f t="shared" si="12"/>
        <v>538.1818181818182</v>
      </c>
      <c r="L90" s="105">
        <f t="shared" si="12"/>
        <v>0.17181818181818181</v>
      </c>
      <c r="M90" s="105">
        <f t="shared" si="12"/>
        <v>0.37545454545454543</v>
      </c>
      <c r="N90" s="105">
        <f t="shared" si="12"/>
        <v>4.529090909090909</v>
      </c>
      <c r="O90" s="105">
        <f t="shared" si="12"/>
        <v>0.7772727272727273</v>
      </c>
      <c r="P90" s="105">
        <f t="shared" si="12"/>
        <v>401.3954545454546</v>
      </c>
      <c r="Q90" s="105">
        <f t="shared" si="12"/>
        <v>78.09454545454544</v>
      </c>
      <c r="R90" s="105">
        <f t="shared" si="12"/>
        <v>314.83454545454543</v>
      </c>
      <c r="S90" s="105">
        <f t="shared" si="12"/>
        <v>3.1436363636363636</v>
      </c>
    </row>
    <row r="91" spans="1:19" s="56" customFormat="1" ht="12.75">
      <c r="A91" s="153" t="s">
        <v>31</v>
      </c>
      <c r="B91" s="153"/>
      <c r="C91" s="153"/>
      <c r="D91" s="153"/>
      <c r="E91" s="95"/>
      <c r="F91" s="96"/>
      <c r="G91" s="93" t="s">
        <v>20</v>
      </c>
      <c r="H91" s="94" t="s">
        <v>20</v>
      </c>
      <c r="I91" s="94"/>
      <c r="J91" s="94" t="s">
        <v>20</v>
      </c>
      <c r="K91" s="94" t="s">
        <v>20</v>
      </c>
      <c r="L91" s="97"/>
      <c r="M91" s="97"/>
      <c r="N91" s="97"/>
      <c r="O91" s="97"/>
      <c r="P91" s="97"/>
      <c r="Q91" s="97"/>
      <c r="R91" s="97"/>
      <c r="S91" s="97"/>
    </row>
    <row r="92" spans="1:19" s="56" customFormat="1" ht="12.75">
      <c r="A92" s="151" t="s">
        <v>1</v>
      </c>
      <c r="B92" s="151"/>
      <c r="C92" s="151"/>
      <c r="D92" s="151"/>
      <c r="E92" s="88"/>
      <c r="F92" s="145" t="s">
        <v>2</v>
      </c>
      <c r="G92" s="145" t="s">
        <v>3</v>
      </c>
      <c r="H92" s="144" t="s">
        <v>4</v>
      </c>
      <c r="I92" s="144"/>
      <c r="J92" s="144"/>
      <c r="K92" s="144"/>
      <c r="L92" s="144" t="s">
        <v>5</v>
      </c>
      <c r="M92" s="144"/>
      <c r="N92" s="144"/>
      <c r="O92" s="144"/>
      <c r="P92" s="144"/>
      <c r="Q92" s="144"/>
      <c r="R92" s="144"/>
      <c r="S92" s="144"/>
    </row>
    <row r="93" spans="1:19" s="56" customFormat="1" ht="25.5">
      <c r="A93" s="151"/>
      <c r="B93" s="151"/>
      <c r="C93" s="151"/>
      <c r="D93" s="151"/>
      <c r="E93" s="87"/>
      <c r="F93" s="145"/>
      <c r="G93" s="145"/>
      <c r="H93" s="90" t="s">
        <v>6</v>
      </c>
      <c r="I93" s="90" t="s">
        <v>7</v>
      </c>
      <c r="J93" s="90" t="s">
        <v>8</v>
      </c>
      <c r="K93" s="91" t="s">
        <v>9</v>
      </c>
      <c r="L93" s="89" t="s">
        <v>10</v>
      </c>
      <c r="M93" s="89" t="s">
        <v>11</v>
      </c>
      <c r="N93" s="89" t="s">
        <v>12</v>
      </c>
      <c r="O93" s="89" t="s">
        <v>13</v>
      </c>
      <c r="P93" s="89" t="s">
        <v>14</v>
      </c>
      <c r="Q93" s="89" t="s">
        <v>15</v>
      </c>
      <c r="R93" s="89" t="s">
        <v>16</v>
      </c>
      <c r="S93" s="89" t="s">
        <v>17</v>
      </c>
    </row>
    <row r="94" spans="1:19" s="56" customFormat="1" ht="12.75">
      <c r="A94" s="146" t="s">
        <v>83</v>
      </c>
      <c r="B94" s="146"/>
      <c r="C94" s="146"/>
      <c r="D94" s="146"/>
      <c r="E94" s="102"/>
      <c r="F94" s="100" t="s">
        <v>84</v>
      </c>
      <c r="G94" s="100" t="s">
        <v>49</v>
      </c>
      <c r="H94" s="100">
        <v>2.84</v>
      </c>
      <c r="I94" s="100">
        <v>5.37</v>
      </c>
      <c r="J94" s="100">
        <v>20.84</v>
      </c>
      <c r="K94" s="100">
        <v>146</v>
      </c>
      <c r="L94" s="100">
        <v>0.07</v>
      </c>
      <c r="M94" s="100">
        <v>0.12</v>
      </c>
      <c r="N94" s="100" t="s">
        <v>85</v>
      </c>
      <c r="O94" s="100">
        <v>0.29</v>
      </c>
      <c r="P94" s="100">
        <v>23.28</v>
      </c>
      <c r="Q94" s="100">
        <v>24.51</v>
      </c>
      <c r="R94" s="100" t="s">
        <v>86</v>
      </c>
      <c r="S94" s="100">
        <v>1.05</v>
      </c>
    </row>
    <row r="95" spans="1:19" s="56" customFormat="1" ht="12.75">
      <c r="A95" s="146" t="s">
        <v>87</v>
      </c>
      <c r="B95" s="146"/>
      <c r="C95" s="146"/>
      <c r="D95" s="146"/>
      <c r="E95" s="102"/>
      <c r="F95" s="100" t="s">
        <v>88</v>
      </c>
      <c r="G95" s="100">
        <v>200</v>
      </c>
      <c r="H95" s="101">
        <f>13.42*1.33</f>
        <v>17.8486</v>
      </c>
      <c r="I95" s="101">
        <f>73.97*1.33</f>
        <v>98.3801</v>
      </c>
      <c r="J95" s="101">
        <f>16.3*1.33</f>
        <v>21.679000000000002</v>
      </c>
      <c r="K95" s="101">
        <f>226.71*1.33</f>
        <v>301.52430000000004</v>
      </c>
      <c r="L95" s="101">
        <f>0.15*1.3</f>
        <v>0.195</v>
      </c>
      <c r="M95" s="101">
        <f>15.21*1.33</f>
        <v>20.229300000000002</v>
      </c>
      <c r="N95" s="101">
        <v>0</v>
      </c>
      <c r="O95" s="101">
        <f>0.6*1.33</f>
        <v>0.798</v>
      </c>
      <c r="P95" s="101">
        <f>29.84*1.33</f>
        <v>39.687200000000004</v>
      </c>
      <c r="Q95" s="101">
        <f>308.22*1.33</f>
        <v>409.93260000000004</v>
      </c>
      <c r="R95" s="101">
        <f>59.67*1.33</f>
        <v>79.36110000000001</v>
      </c>
      <c r="S95" s="101">
        <f>4.37*1.33</f>
        <v>5.8121</v>
      </c>
    </row>
    <row r="96" spans="1:19" s="56" customFormat="1" ht="12.75">
      <c r="A96" s="146" t="s">
        <v>54</v>
      </c>
      <c r="B96" s="146"/>
      <c r="C96" s="146"/>
      <c r="D96" s="146"/>
      <c r="E96" s="102"/>
      <c r="F96" s="100" t="s">
        <v>55</v>
      </c>
      <c r="G96" s="100">
        <v>200</v>
      </c>
      <c r="H96" s="101">
        <v>0.44</v>
      </c>
      <c r="I96" s="101">
        <v>0</v>
      </c>
      <c r="J96" s="101">
        <v>28.88</v>
      </c>
      <c r="K96" s="101">
        <v>116</v>
      </c>
      <c r="L96" s="101">
        <v>0</v>
      </c>
      <c r="M96" s="101">
        <v>0</v>
      </c>
      <c r="N96" s="101">
        <v>0.4</v>
      </c>
      <c r="O96" s="101">
        <v>0</v>
      </c>
      <c r="P96" s="101">
        <v>44.8</v>
      </c>
      <c r="Q96" s="101">
        <v>6</v>
      </c>
      <c r="R96" s="101">
        <v>15.4</v>
      </c>
      <c r="S96" s="101">
        <v>1.26</v>
      </c>
    </row>
    <row r="97" spans="1:19" s="56" customFormat="1" ht="12.75">
      <c r="A97" s="147" t="s">
        <v>40</v>
      </c>
      <c r="B97" s="147"/>
      <c r="C97" s="147"/>
      <c r="D97" s="147"/>
      <c r="E97" s="102"/>
      <c r="F97" s="100"/>
      <c r="G97" s="100">
        <v>60</v>
      </c>
      <c r="H97" s="101">
        <v>2.82</v>
      </c>
      <c r="I97" s="101">
        <v>0.6</v>
      </c>
      <c r="J97" s="101">
        <v>0.6</v>
      </c>
      <c r="K97" s="101">
        <v>126</v>
      </c>
      <c r="L97" s="101">
        <v>0</v>
      </c>
      <c r="M97" s="101">
        <v>0.08</v>
      </c>
      <c r="N97" s="101">
        <v>0</v>
      </c>
      <c r="O97" s="101">
        <v>0.78</v>
      </c>
      <c r="P97" s="101">
        <v>14.4</v>
      </c>
      <c r="Q97" s="101">
        <v>11.4</v>
      </c>
      <c r="R97" s="101">
        <v>52.2</v>
      </c>
      <c r="S97" s="101">
        <v>2.24</v>
      </c>
    </row>
    <row r="98" spans="1:19" s="56" customFormat="1" ht="12.75">
      <c r="A98" s="147"/>
      <c r="B98" s="147"/>
      <c r="C98" s="147"/>
      <c r="D98" s="147"/>
      <c r="E98" s="102"/>
      <c r="F98" s="100"/>
      <c r="G98" s="100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1:19" s="56" customFormat="1" ht="12.75">
      <c r="A99" s="154" t="s">
        <v>30</v>
      </c>
      <c r="B99" s="154"/>
      <c r="C99" s="154"/>
      <c r="D99" s="154"/>
      <c r="E99" s="103"/>
      <c r="F99" s="104"/>
      <c r="G99" s="104"/>
      <c r="H99" s="105">
        <f aca="true" t="shared" si="13" ref="H99:S99">SUM(H93:H98)</f>
        <v>23.948600000000003</v>
      </c>
      <c r="I99" s="105">
        <f t="shared" si="13"/>
        <v>104.3501</v>
      </c>
      <c r="J99" s="105">
        <f t="shared" si="13"/>
        <v>71.999</v>
      </c>
      <c r="K99" s="105">
        <f t="shared" si="13"/>
        <v>689.5243</v>
      </c>
      <c r="L99" s="105">
        <f t="shared" si="13"/>
        <v>0.265</v>
      </c>
      <c r="M99" s="105">
        <f t="shared" si="13"/>
        <v>20.4293</v>
      </c>
      <c r="N99" s="105">
        <f t="shared" si="13"/>
        <v>0.4</v>
      </c>
      <c r="O99" s="105">
        <f t="shared" si="13"/>
        <v>1.868</v>
      </c>
      <c r="P99" s="105">
        <f t="shared" si="13"/>
        <v>122.16720000000001</v>
      </c>
      <c r="Q99" s="105">
        <f t="shared" si="13"/>
        <v>451.8426</v>
      </c>
      <c r="R99" s="105">
        <f t="shared" si="13"/>
        <v>146.96110000000002</v>
      </c>
      <c r="S99" s="105">
        <f t="shared" si="13"/>
        <v>10.3621</v>
      </c>
    </row>
    <row r="100" spans="1:19" s="56" customFormat="1" ht="12.75">
      <c r="A100" s="155" t="s">
        <v>41</v>
      </c>
      <c r="B100" s="155"/>
      <c r="C100" s="155"/>
      <c r="D100" s="155"/>
      <c r="E100" s="108"/>
      <c r="F100" s="109"/>
      <c r="G100" s="109"/>
      <c r="H100" s="110">
        <f>SUM(H90+H99)</f>
        <v>52.19950909090909</v>
      </c>
      <c r="I100" s="110">
        <f aca="true" t="shared" si="14" ref="I100:S100">SUM(I90+I99)</f>
        <v>125.0101</v>
      </c>
      <c r="J100" s="110">
        <f t="shared" si="14"/>
        <v>137.75536363636365</v>
      </c>
      <c r="K100" s="110">
        <f t="shared" si="14"/>
        <v>1227.7061181818183</v>
      </c>
      <c r="L100" s="110">
        <f t="shared" si="14"/>
        <v>0.4368181818181818</v>
      </c>
      <c r="M100" s="110">
        <f t="shared" si="14"/>
        <v>20.804754545454546</v>
      </c>
      <c r="N100" s="110">
        <f t="shared" si="14"/>
        <v>4.92909090909091</v>
      </c>
      <c r="O100" s="110">
        <f t="shared" si="14"/>
        <v>2.6452727272727277</v>
      </c>
      <c r="P100" s="110">
        <f t="shared" si="14"/>
        <v>523.5626545454546</v>
      </c>
      <c r="Q100" s="110">
        <f t="shared" si="14"/>
        <v>529.9371454545454</v>
      </c>
      <c r="R100" s="110">
        <f t="shared" si="14"/>
        <v>461.7956454545455</v>
      </c>
      <c r="S100" s="110">
        <f t="shared" si="14"/>
        <v>13.505736363636363</v>
      </c>
    </row>
    <row r="101" spans="1:19" s="56" customFormat="1" ht="12.75">
      <c r="A101" s="152" t="s">
        <v>89</v>
      </c>
      <c r="B101" s="152"/>
      <c r="C101" s="152"/>
      <c r="D101" s="152"/>
      <c r="E101" s="92"/>
      <c r="F101" s="93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1:19" s="56" customFormat="1" ht="12.75">
      <c r="A102" s="153" t="s">
        <v>19</v>
      </c>
      <c r="B102" s="153"/>
      <c r="C102" s="153"/>
      <c r="D102" s="153"/>
      <c r="E102" s="95"/>
      <c r="F102" s="96"/>
      <c r="G102" s="93" t="s">
        <v>20</v>
      </c>
      <c r="H102" s="94" t="s">
        <v>20</v>
      </c>
      <c r="I102" s="94"/>
      <c r="J102" s="94" t="s">
        <v>20</v>
      </c>
      <c r="K102" s="94" t="s">
        <v>20</v>
      </c>
      <c r="L102" s="97"/>
      <c r="M102" s="97"/>
      <c r="N102" s="97"/>
      <c r="O102" s="97"/>
      <c r="P102" s="97"/>
      <c r="Q102" s="97"/>
      <c r="R102" s="97"/>
      <c r="S102" s="97"/>
    </row>
    <row r="103" spans="1:19" s="56" customFormat="1" ht="12.75">
      <c r="A103" s="146" t="s">
        <v>21</v>
      </c>
      <c r="B103" s="146"/>
      <c r="C103" s="146"/>
      <c r="D103" s="146"/>
      <c r="E103" s="98"/>
      <c r="F103" s="99" t="s">
        <v>22</v>
      </c>
      <c r="G103" s="100">
        <v>10</v>
      </c>
      <c r="H103" s="101">
        <v>0.05</v>
      </c>
      <c r="I103" s="101">
        <v>8.25</v>
      </c>
      <c r="J103" s="101">
        <v>0.08</v>
      </c>
      <c r="K103" s="101">
        <v>75</v>
      </c>
      <c r="L103" s="101">
        <v>0.1</v>
      </c>
      <c r="M103" s="101">
        <v>0</v>
      </c>
      <c r="N103" s="101">
        <v>0</v>
      </c>
      <c r="O103" s="101">
        <v>0</v>
      </c>
      <c r="P103" s="101">
        <v>1.2</v>
      </c>
      <c r="Q103" s="101">
        <v>0.04</v>
      </c>
      <c r="R103" s="101">
        <v>1.9</v>
      </c>
      <c r="S103" s="101">
        <v>0.02</v>
      </c>
    </row>
    <row r="104" spans="1:19" s="56" customFormat="1" ht="12.75">
      <c r="A104" s="146" t="s">
        <v>90</v>
      </c>
      <c r="B104" s="146"/>
      <c r="C104" s="146"/>
      <c r="D104" s="146"/>
      <c r="E104" s="102"/>
      <c r="F104" s="100" t="s">
        <v>25</v>
      </c>
      <c r="G104" s="100" t="s">
        <v>26</v>
      </c>
      <c r="H104" s="101">
        <f>21.58*200/220</f>
        <v>19.618181818181817</v>
      </c>
      <c r="I104" s="101">
        <f>24.68*200/220</f>
        <v>22.436363636363637</v>
      </c>
      <c r="J104" s="101">
        <f>24.91*200/220</f>
        <v>22.645454545454545</v>
      </c>
      <c r="K104" s="101">
        <f>289*200/220</f>
        <v>262.72727272727275</v>
      </c>
      <c r="L104" s="101">
        <f>0.08*200/220</f>
        <v>0.07272727272727272</v>
      </c>
      <c r="M104" s="101">
        <f>0.12*200/220</f>
        <v>0.10909090909090909</v>
      </c>
      <c r="N104" s="101">
        <f>1.51*200/220</f>
        <v>1.3727272727272728</v>
      </c>
      <c r="O104" s="101">
        <f>0.52*200/220</f>
        <v>0.4727272727272727</v>
      </c>
      <c r="P104" s="101">
        <f>212.59*200/220</f>
        <v>193.26363636363635</v>
      </c>
      <c r="Q104" s="101">
        <f>25.31*200/220</f>
        <v>23.009090909090908</v>
      </c>
      <c r="R104" s="101">
        <f>84.48*200/220</f>
        <v>76.8</v>
      </c>
      <c r="S104" s="101">
        <f>0.62*200/220</f>
        <v>0.5636363636363636</v>
      </c>
    </row>
    <row r="105" spans="1:19" s="56" customFormat="1" ht="12.75">
      <c r="A105" s="146" t="s">
        <v>91</v>
      </c>
      <c r="B105" s="146"/>
      <c r="C105" s="146"/>
      <c r="D105" s="146"/>
      <c r="E105" s="102"/>
      <c r="F105" s="100" t="s">
        <v>92</v>
      </c>
      <c r="G105" s="100">
        <v>200</v>
      </c>
      <c r="H105" s="101">
        <v>4.5</v>
      </c>
      <c r="I105" s="101">
        <v>24.5</v>
      </c>
      <c r="J105" s="101">
        <v>132.82</v>
      </c>
      <c r="K105" s="101">
        <v>190</v>
      </c>
      <c r="L105" s="101">
        <v>0</v>
      </c>
      <c r="M105" s="101">
        <v>0.141</v>
      </c>
      <c r="N105" s="101">
        <v>1.16</v>
      </c>
      <c r="O105" s="101">
        <v>0</v>
      </c>
      <c r="P105" s="101">
        <v>113.1</v>
      </c>
      <c r="Q105" s="101">
        <v>0</v>
      </c>
      <c r="R105" s="101">
        <v>0</v>
      </c>
      <c r="S105" s="101">
        <v>0.93</v>
      </c>
    </row>
    <row r="106" spans="1:19" s="56" customFormat="1" ht="12.75">
      <c r="A106" s="147" t="s">
        <v>29</v>
      </c>
      <c r="B106" s="147"/>
      <c r="C106" s="147"/>
      <c r="D106" s="147"/>
      <c r="E106" s="102"/>
      <c r="F106" s="100"/>
      <c r="G106" s="100">
        <v>50</v>
      </c>
      <c r="H106" s="101">
        <v>3.8</v>
      </c>
      <c r="I106" s="101">
        <v>0.4</v>
      </c>
      <c r="J106" s="101">
        <v>24.3</v>
      </c>
      <c r="K106" s="101">
        <v>119</v>
      </c>
      <c r="L106" s="101">
        <v>0</v>
      </c>
      <c r="M106" s="101">
        <v>0.06</v>
      </c>
      <c r="N106" s="101">
        <v>0</v>
      </c>
      <c r="O106" s="101">
        <v>0.55</v>
      </c>
      <c r="P106" s="101">
        <v>10</v>
      </c>
      <c r="Q106" s="101">
        <v>7</v>
      </c>
      <c r="R106" s="101">
        <v>32.5</v>
      </c>
      <c r="S106" s="101">
        <v>0.55</v>
      </c>
    </row>
    <row r="107" spans="1:19" s="56" customFormat="1" ht="12.75">
      <c r="A107" s="148" t="s">
        <v>30</v>
      </c>
      <c r="B107" s="148"/>
      <c r="C107" s="148"/>
      <c r="D107" s="148"/>
      <c r="E107" s="103"/>
      <c r="F107" s="104"/>
      <c r="G107" s="104" t="s">
        <v>20</v>
      </c>
      <c r="H107" s="105">
        <f>H103+H104+H105+H106</f>
        <v>27.96818181818182</v>
      </c>
      <c r="I107" s="105">
        <f aca="true" t="shared" si="15" ref="I107:S107">SUM(I103:I106)</f>
        <v>55.586363636363636</v>
      </c>
      <c r="J107" s="105">
        <f t="shared" si="15"/>
        <v>179.84545454545454</v>
      </c>
      <c r="K107" s="105">
        <f t="shared" si="15"/>
        <v>646.7272727272727</v>
      </c>
      <c r="L107" s="105">
        <f t="shared" si="15"/>
        <v>0.17272727272727273</v>
      </c>
      <c r="M107" s="105">
        <f t="shared" si="15"/>
        <v>0.3100909090909091</v>
      </c>
      <c r="N107" s="105">
        <f t="shared" si="15"/>
        <v>2.5327272727272727</v>
      </c>
      <c r="O107" s="105">
        <f t="shared" si="15"/>
        <v>1.0227272727272727</v>
      </c>
      <c r="P107" s="105">
        <f t="shared" si="15"/>
        <v>317.5636363636363</v>
      </c>
      <c r="Q107" s="105">
        <f t="shared" si="15"/>
        <v>30.049090909090907</v>
      </c>
      <c r="R107" s="105">
        <f t="shared" si="15"/>
        <v>111.2</v>
      </c>
      <c r="S107" s="105">
        <f t="shared" si="15"/>
        <v>2.0636363636363635</v>
      </c>
    </row>
    <row r="108" spans="1:19" s="56" customFormat="1" ht="12.75">
      <c r="A108" s="149" t="s">
        <v>31</v>
      </c>
      <c r="B108" s="149"/>
      <c r="C108" s="149"/>
      <c r="D108" s="149"/>
      <c r="E108" s="92"/>
      <c r="F108" s="93"/>
      <c r="G108" s="93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1:19" s="56" customFormat="1" ht="12.75">
      <c r="A109" s="146" t="s">
        <v>93</v>
      </c>
      <c r="B109" s="146"/>
      <c r="C109" s="146"/>
      <c r="D109" s="146"/>
      <c r="E109" s="102"/>
      <c r="F109" s="100" t="s">
        <v>94</v>
      </c>
      <c r="G109" s="100">
        <v>100</v>
      </c>
      <c r="H109" s="101">
        <f>0.82*1.67</f>
        <v>1.3694</v>
      </c>
      <c r="I109" s="101">
        <f>6.07*1.67</f>
        <v>10.1369</v>
      </c>
      <c r="J109" s="101">
        <f>4.52*1.67</f>
        <v>7.548399999999999</v>
      </c>
      <c r="K109" s="101">
        <f>76*1.67</f>
        <v>126.91999999999999</v>
      </c>
      <c r="L109" s="101">
        <f>0.54*1.67</f>
        <v>0.9018</v>
      </c>
      <c r="M109" s="101">
        <f>0.03*1.67</f>
        <v>0.0501</v>
      </c>
      <c r="N109" s="101">
        <f>7.77*1.67</f>
        <v>12.9759</v>
      </c>
      <c r="O109" s="101">
        <f>2.72*1.67</f>
        <v>4.5424</v>
      </c>
      <c r="P109" s="101">
        <f>16.83*1.67</f>
        <v>28.106099999999994</v>
      </c>
      <c r="Q109" s="101">
        <f>11.12*1.67</f>
        <v>18.5704</v>
      </c>
      <c r="R109" s="101">
        <f>24.65*1.67</f>
        <v>41.165499999999994</v>
      </c>
      <c r="S109" s="101">
        <f>0.46*1.67</f>
        <v>0.7682</v>
      </c>
    </row>
    <row r="110" spans="1:19" s="56" customFormat="1" ht="12.75">
      <c r="A110" s="146" t="s">
        <v>138</v>
      </c>
      <c r="B110" s="146"/>
      <c r="C110" s="146"/>
      <c r="D110" s="146"/>
      <c r="E110" s="102"/>
      <c r="F110" s="100" t="s">
        <v>95</v>
      </c>
      <c r="G110" s="100" t="s">
        <v>49</v>
      </c>
      <c r="H110" s="101">
        <v>2.99</v>
      </c>
      <c r="I110" s="101">
        <v>4.97</v>
      </c>
      <c r="J110" s="101">
        <v>11.52</v>
      </c>
      <c r="K110" s="101">
        <v>121</v>
      </c>
      <c r="L110" s="101">
        <v>0.01</v>
      </c>
      <c r="M110" s="101">
        <v>0.05</v>
      </c>
      <c r="N110" s="101">
        <v>10</v>
      </c>
      <c r="O110" s="101">
        <v>0.4</v>
      </c>
      <c r="P110" s="101">
        <v>23.5</v>
      </c>
      <c r="Q110" s="101">
        <v>20.75</v>
      </c>
      <c r="R110" s="101">
        <v>50.1</v>
      </c>
      <c r="S110" s="101">
        <v>0.65</v>
      </c>
    </row>
    <row r="111" spans="1:19" s="56" customFormat="1" ht="12.75">
      <c r="A111" s="146" t="s">
        <v>96</v>
      </c>
      <c r="B111" s="146"/>
      <c r="C111" s="146"/>
      <c r="D111" s="146"/>
      <c r="E111" s="102"/>
      <c r="F111" s="100" t="s">
        <v>97</v>
      </c>
      <c r="G111" s="100" t="s">
        <v>130</v>
      </c>
      <c r="H111" s="101">
        <v>10.96</v>
      </c>
      <c r="I111" s="101">
        <v>11.54</v>
      </c>
      <c r="J111" s="101">
        <v>13.12</v>
      </c>
      <c r="K111" s="101">
        <v>201</v>
      </c>
      <c r="L111" s="101">
        <v>0</v>
      </c>
      <c r="M111" s="101">
        <v>0.07</v>
      </c>
      <c r="N111" s="101">
        <v>1.31</v>
      </c>
      <c r="O111" s="101">
        <v>2.56</v>
      </c>
      <c r="P111" s="101">
        <v>29.3</v>
      </c>
      <c r="Q111" s="101">
        <v>9.15</v>
      </c>
      <c r="R111" s="101">
        <v>63.82</v>
      </c>
      <c r="S111" s="101">
        <v>0.61</v>
      </c>
    </row>
    <row r="112" spans="1:19" s="56" customFormat="1" ht="12.75">
      <c r="A112" s="146" t="s">
        <v>52</v>
      </c>
      <c r="B112" s="146"/>
      <c r="C112" s="146"/>
      <c r="D112" s="146"/>
      <c r="E112" s="102"/>
      <c r="F112" s="100" t="s">
        <v>53</v>
      </c>
      <c r="G112" s="100">
        <v>180</v>
      </c>
      <c r="H112" s="101">
        <v>10.51</v>
      </c>
      <c r="I112" s="101">
        <v>7.94</v>
      </c>
      <c r="J112" s="101">
        <v>51.7</v>
      </c>
      <c r="K112" s="101">
        <v>325</v>
      </c>
      <c r="L112" s="101">
        <v>0.06</v>
      </c>
      <c r="M112" s="101">
        <v>0.1</v>
      </c>
      <c r="N112" s="101">
        <v>0</v>
      </c>
      <c r="O112" s="101">
        <v>0.67</v>
      </c>
      <c r="P112" s="101">
        <v>17.39</v>
      </c>
      <c r="Q112" s="101">
        <v>166.34</v>
      </c>
      <c r="R112" s="101">
        <v>249.01</v>
      </c>
      <c r="S112" s="101">
        <v>5.58</v>
      </c>
    </row>
    <row r="113" spans="1:19" s="56" customFormat="1" ht="12.75">
      <c r="A113" s="146" t="s">
        <v>27</v>
      </c>
      <c r="B113" s="146"/>
      <c r="C113" s="146"/>
      <c r="D113" s="146"/>
      <c r="E113" s="102"/>
      <c r="F113" s="100" t="s">
        <v>28</v>
      </c>
      <c r="G113" s="100">
        <v>200</v>
      </c>
      <c r="H113" s="101">
        <v>0.26</v>
      </c>
      <c r="I113" s="101">
        <v>0.06</v>
      </c>
      <c r="J113" s="101">
        <v>15.22</v>
      </c>
      <c r="K113" s="101">
        <v>59</v>
      </c>
      <c r="L113" s="101">
        <v>0</v>
      </c>
      <c r="M113" s="101">
        <v>0</v>
      </c>
      <c r="N113" s="101">
        <v>2.9</v>
      </c>
      <c r="O113" s="101">
        <v>0</v>
      </c>
      <c r="P113" s="101">
        <v>8.05</v>
      </c>
      <c r="Q113" s="101">
        <v>5.24</v>
      </c>
      <c r="R113" s="101">
        <v>9.78</v>
      </c>
      <c r="S113" s="101">
        <v>0.91</v>
      </c>
    </row>
    <row r="114" spans="1:19" s="56" customFormat="1" ht="12.75">
      <c r="A114" s="147" t="s">
        <v>40</v>
      </c>
      <c r="B114" s="147"/>
      <c r="C114" s="147"/>
      <c r="D114" s="147"/>
      <c r="E114" s="102"/>
      <c r="F114" s="100"/>
      <c r="G114" s="100">
        <v>60</v>
      </c>
      <c r="H114" s="101">
        <v>2.82</v>
      </c>
      <c r="I114" s="101">
        <v>0.6</v>
      </c>
      <c r="J114" s="101">
        <v>0.6</v>
      </c>
      <c r="K114" s="101">
        <v>126</v>
      </c>
      <c r="L114" s="101">
        <v>0</v>
      </c>
      <c r="M114" s="101">
        <v>0.08</v>
      </c>
      <c r="N114" s="101">
        <v>0</v>
      </c>
      <c r="O114" s="101">
        <v>0.78</v>
      </c>
      <c r="P114" s="101">
        <v>14.4</v>
      </c>
      <c r="Q114" s="101">
        <v>11.4</v>
      </c>
      <c r="R114" s="101">
        <v>52.2</v>
      </c>
      <c r="S114" s="101">
        <v>2.24</v>
      </c>
    </row>
    <row r="115" spans="1:19" s="56" customFormat="1" ht="12.75">
      <c r="A115" s="147"/>
      <c r="B115" s="147"/>
      <c r="C115" s="147"/>
      <c r="D115" s="147"/>
      <c r="E115" s="102"/>
      <c r="F115" s="100"/>
      <c r="G115" s="100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" s="56" customFormat="1" ht="12.75">
      <c r="A116" s="154" t="s">
        <v>30</v>
      </c>
      <c r="B116" s="154"/>
      <c r="C116" s="154"/>
      <c r="D116" s="154"/>
      <c r="E116" s="103"/>
      <c r="F116" s="104"/>
      <c r="G116" s="104"/>
      <c r="H116" s="105">
        <f aca="true" t="shared" si="16" ref="H116:S116">H109+H110+H111+H112+H113+H114+H115</f>
        <v>28.9094</v>
      </c>
      <c r="I116" s="105">
        <f t="shared" si="16"/>
        <v>35.246900000000004</v>
      </c>
      <c r="J116" s="105">
        <f t="shared" si="16"/>
        <v>99.70839999999998</v>
      </c>
      <c r="K116" s="105">
        <f t="shared" si="16"/>
        <v>958.92</v>
      </c>
      <c r="L116" s="105">
        <f t="shared" si="16"/>
        <v>0.9718</v>
      </c>
      <c r="M116" s="105">
        <f t="shared" si="16"/>
        <v>0.3501</v>
      </c>
      <c r="N116" s="105">
        <f t="shared" si="16"/>
        <v>27.185899999999997</v>
      </c>
      <c r="O116" s="105">
        <f t="shared" si="16"/>
        <v>8.952399999999999</v>
      </c>
      <c r="P116" s="105">
        <f t="shared" si="16"/>
        <v>120.7461</v>
      </c>
      <c r="Q116" s="105">
        <f t="shared" si="16"/>
        <v>231.45040000000003</v>
      </c>
      <c r="R116" s="105">
        <f t="shared" si="16"/>
        <v>466.0755</v>
      </c>
      <c r="S116" s="105">
        <f t="shared" si="16"/>
        <v>10.7582</v>
      </c>
    </row>
    <row r="117" spans="1:19" s="56" customFormat="1" ht="12.75">
      <c r="A117" s="155" t="s">
        <v>41</v>
      </c>
      <c r="B117" s="155"/>
      <c r="C117" s="155"/>
      <c r="D117" s="155"/>
      <c r="E117" s="108"/>
      <c r="F117" s="109"/>
      <c r="G117" s="109"/>
      <c r="H117" s="110">
        <f>SUM(H107+H116)</f>
        <v>56.877581818181824</v>
      </c>
      <c r="I117" s="110">
        <f aca="true" t="shared" si="17" ref="I117:S117">SUM(I107+I116)</f>
        <v>90.83326363636364</v>
      </c>
      <c r="J117" s="110">
        <f t="shared" si="17"/>
        <v>279.55385454545456</v>
      </c>
      <c r="K117" s="110">
        <f t="shared" si="17"/>
        <v>1605.6472727272726</v>
      </c>
      <c r="L117" s="110">
        <f t="shared" si="17"/>
        <v>1.1445272727272728</v>
      </c>
      <c r="M117" s="110">
        <f t="shared" si="17"/>
        <v>0.660190909090909</v>
      </c>
      <c r="N117" s="110">
        <f t="shared" si="17"/>
        <v>29.718627272727268</v>
      </c>
      <c r="O117" s="110">
        <f t="shared" si="17"/>
        <v>9.975127272727272</v>
      </c>
      <c r="P117" s="110">
        <f t="shared" si="17"/>
        <v>438.3097363636363</v>
      </c>
      <c r="Q117" s="110">
        <f t="shared" si="17"/>
        <v>261.4994909090909</v>
      </c>
      <c r="R117" s="110">
        <f t="shared" si="17"/>
        <v>577.2755</v>
      </c>
      <c r="S117" s="110">
        <f t="shared" si="17"/>
        <v>12.821836363636365</v>
      </c>
    </row>
    <row r="118" spans="1:19" s="56" customFormat="1" ht="12.75">
      <c r="A118" s="152" t="s">
        <v>98</v>
      </c>
      <c r="B118" s="152"/>
      <c r="C118" s="152"/>
      <c r="D118" s="152"/>
      <c r="E118" s="92"/>
      <c r="F118" s="93"/>
      <c r="G118" s="93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1:19" s="56" customFormat="1" ht="12.75">
      <c r="A119" s="153" t="s">
        <v>19</v>
      </c>
      <c r="B119" s="153"/>
      <c r="C119" s="153"/>
      <c r="D119" s="153"/>
      <c r="E119" s="95"/>
      <c r="F119" s="96"/>
      <c r="G119" s="93" t="s">
        <v>20</v>
      </c>
      <c r="H119" s="94" t="s">
        <v>20</v>
      </c>
      <c r="I119" s="94"/>
      <c r="J119" s="94" t="s">
        <v>20</v>
      </c>
      <c r="K119" s="94" t="s">
        <v>20</v>
      </c>
      <c r="L119" s="97"/>
      <c r="M119" s="97"/>
      <c r="N119" s="97"/>
      <c r="O119" s="97"/>
      <c r="P119" s="97"/>
      <c r="Q119" s="97"/>
      <c r="R119" s="97"/>
      <c r="S119" s="97"/>
    </row>
    <row r="120" spans="1:19" s="56" customFormat="1" ht="12.75">
      <c r="A120" s="146" t="s">
        <v>43</v>
      </c>
      <c r="B120" s="146"/>
      <c r="C120" s="146"/>
      <c r="D120" s="146"/>
      <c r="E120" s="98"/>
      <c r="F120" s="99" t="s">
        <v>22</v>
      </c>
      <c r="G120" s="100">
        <v>20</v>
      </c>
      <c r="H120" s="101">
        <v>4.6</v>
      </c>
      <c r="I120" s="101">
        <v>5.8</v>
      </c>
      <c r="J120" s="101">
        <v>0</v>
      </c>
      <c r="K120" s="101">
        <v>72</v>
      </c>
      <c r="L120" s="101">
        <v>0.09</v>
      </c>
      <c r="M120" s="101">
        <v>0.07</v>
      </c>
      <c r="N120" s="101">
        <v>0.32</v>
      </c>
      <c r="O120" s="101">
        <v>0.1</v>
      </c>
      <c r="P120" s="101">
        <v>200</v>
      </c>
      <c r="Q120" s="101">
        <v>10</v>
      </c>
      <c r="R120" s="101">
        <v>108</v>
      </c>
      <c r="S120" s="101">
        <v>0.22</v>
      </c>
    </row>
    <row r="121" spans="1:19" s="56" customFormat="1" ht="12.75">
      <c r="A121" s="146" t="s">
        <v>24</v>
      </c>
      <c r="B121" s="146"/>
      <c r="C121" s="146"/>
      <c r="D121" s="146"/>
      <c r="E121" s="102"/>
      <c r="F121" s="100" t="s">
        <v>25</v>
      </c>
      <c r="G121" s="100" t="s">
        <v>26</v>
      </c>
      <c r="H121" s="101">
        <f>22.54*200/220</f>
        <v>20.490909090909092</v>
      </c>
      <c r="I121" s="101">
        <f>11.17*200/220</f>
        <v>10.154545454545454</v>
      </c>
      <c r="J121" s="101">
        <f>25.7*200/220</f>
        <v>23.363636363636363</v>
      </c>
      <c r="K121" s="101">
        <f>300*200/220</f>
        <v>272.72727272727275</v>
      </c>
      <c r="L121" s="101">
        <f>0.08*200/220</f>
        <v>0.07272727272727272</v>
      </c>
      <c r="M121" s="101">
        <f>0.2*200/220</f>
        <v>0.18181818181818182</v>
      </c>
      <c r="N121" s="101">
        <f>1.43*200/220</f>
        <v>1.3</v>
      </c>
      <c r="O121" s="101">
        <f>0.8*200/220</f>
        <v>0.7272727272727273</v>
      </c>
      <c r="P121" s="101">
        <f>205.43*200/220</f>
        <v>186.75454545454545</v>
      </c>
      <c r="Q121" s="101">
        <f>15.66*200/220</f>
        <v>14.236363636363636</v>
      </c>
      <c r="R121" s="101">
        <v>183.38</v>
      </c>
      <c r="S121" s="101">
        <v>2.55</v>
      </c>
    </row>
    <row r="122" spans="1:19" s="56" customFormat="1" ht="12.75">
      <c r="A122" s="146" t="s">
        <v>72</v>
      </c>
      <c r="B122" s="146"/>
      <c r="C122" s="146"/>
      <c r="D122" s="146"/>
      <c r="E122" s="102"/>
      <c r="F122" s="100" t="s">
        <v>73</v>
      </c>
      <c r="G122" s="100">
        <v>200</v>
      </c>
      <c r="H122" s="101">
        <v>1.6</v>
      </c>
      <c r="I122" s="101">
        <v>1.65</v>
      </c>
      <c r="J122" s="101">
        <v>17.36</v>
      </c>
      <c r="K122" s="101">
        <v>86</v>
      </c>
      <c r="L122" s="101">
        <v>0.02</v>
      </c>
      <c r="M122" s="101">
        <v>0.02</v>
      </c>
      <c r="N122" s="101">
        <v>0.75</v>
      </c>
      <c r="O122" s="101">
        <v>0</v>
      </c>
      <c r="P122" s="101">
        <v>65.25</v>
      </c>
      <c r="Q122" s="101">
        <v>11.4</v>
      </c>
      <c r="R122" s="101">
        <v>53.24</v>
      </c>
      <c r="S122" s="101">
        <v>0.9</v>
      </c>
    </row>
    <row r="123" spans="1:19" s="56" customFormat="1" ht="12.75">
      <c r="A123" s="147" t="s">
        <v>29</v>
      </c>
      <c r="B123" s="147"/>
      <c r="C123" s="147"/>
      <c r="D123" s="147"/>
      <c r="E123" s="102"/>
      <c r="F123" s="100"/>
      <c r="G123" s="100">
        <v>50</v>
      </c>
      <c r="H123" s="101">
        <v>3.8</v>
      </c>
      <c r="I123" s="101">
        <v>0.4</v>
      </c>
      <c r="J123" s="101">
        <v>24.3</v>
      </c>
      <c r="K123" s="101">
        <v>119</v>
      </c>
      <c r="L123" s="101">
        <v>0</v>
      </c>
      <c r="M123" s="101">
        <v>0.06</v>
      </c>
      <c r="N123" s="101">
        <v>0</v>
      </c>
      <c r="O123" s="101">
        <v>0.55</v>
      </c>
      <c r="P123" s="101">
        <v>10</v>
      </c>
      <c r="Q123" s="101">
        <v>7</v>
      </c>
      <c r="R123" s="101">
        <v>32.5</v>
      </c>
      <c r="S123" s="101">
        <v>0.55</v>
      </c>
    </row>
    <row r="124" spans="1:19" s="56" customFormat="1" ht="12.75">
      <c r="A124" s="148" t="s">
        <v>30</v>
      </c>
      <c r="B124" s="148"/>
      <c r="C124" s="148"/>
      <c r="D124" s="148"/>
      <c r="E124" s="103"/>
      <c r="F124" s="104"/>
      <c r="G124" s="104" t="s">
        <v>20</v>
      </c>
      <c r="H124" s="105">
        <f aca="true" t="shared" si="18" ref="H124:S124">H120+H121+H122+H123</f>
        <v>30.490909090909096</v>
      </c>
      <c r="I124" s="105">
        <f t="shared" si="18"/>
        <v>18.00454545454545</v>
      </c>
      <c r="J124" s="105">
        <f t="shared" si="18"/>
        <v>65.02363636363636</v>
      </c>
      <c r="K124" s="105">
        <f t="shared" si="18"/>
        <v>549.7272727272727</v>
      </c>
      <c r="L124" s="105">
        <f t="shared" si="18"/>
        <v>0.1827272727272727</v>
      </c>
      <c r="M124" s="105">
        <f t="shared" si="18"/>
        <v>0.33181818181818185</v>
      </c>
      <c r="N124" s="105">
        <f t="shared" si="18"/>
        <v>2.37</v>
      </c>
      <c r="O124" s="105">
        <f t="shared" si="18"/>
        <v>1.3772727272727274</v>
      </c>
      <c r="P124" s="105">
        <f t="shared" si="18"/>
        <v>462.00454545454545</v>
      </c>
      <c r="Q124" s="105">
        <f t="shared" si="18"/>
        <v>42.63636363636363</v>
      </c>
      <c r="R124" s="105">
        <f t="shared" si="18"/>
        <v>377.12</v>
      </c>
      <c r="S124" s="105">
        <f t="shared" si="18"/>
        <v>4.22</v>
      </c>
    </row>
    <row r="125" spans="1:19" s="56" customFormat="1" ht="12.75">
      <c r="A125" s="149" t="s">
        <v>31</v>
      </c>
      <c r="B125" s="149"/>
      <c r="C125" s="149"/>
      <c r="D125" s="149"/>
      <c r="E125" s="92"/>
      <c r="F125" s="93"/>
      <c r="G125" s="93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1:19" s="56" customFormat="1" ht="12.75">
      <c r="A126" s="146" t="s">
        <v>136</v>
      </c>
      <c r="B126" s="146"/>
      <c r="C126" s="146"/>
      <c r="D126" s="146"/>
      <c r="E126" s="102"/>
      <c r="F126" s="100" t="s">
        <v>137</v>
      </c>
      <c r="G126" s="100">
        <v>100</v>
      </c>
      <c r="H126" s="101">
        <v>0.79</v>
      </c>
      <c r="I126" s="101">
        <v>1.01</v>
      </c>
      <c r="J126" s="101">
        <v>1.44</v>
      </c>
      <c r="K126" s="101">
        <v>105</v>
      </c>
      <c r="L126" s="101">
        <v>0.05</v>
      </c>
      <c r="M126" s="101">
        <v>0.2</v>
      </c>
      <c r="N126" s="101">
        <v>9.1</v>
      </c>
      <c r="O126" s="101">
        <v>4.5</v>
      </c>
      <c r="P126" s="101">
        <v>21.73</v>
      </c>
      <c r="Q126" s="101">
        <v>12.74</v>
      </c>
      <c r="R126" s="101">
        <v>39.82</v>
      </c>
      <c r="S126" s="101">
        <v>0.5700000000000001</v>
      </c>
    </row>
    <row r="127" spans="1:19" s="56" customFormat="1" ht="12.75">
      <c r="A127" s="146" t="s">
        <v>32</v>
      </c>
      <c r="B127" s="146"/>
      <c r="C127" s="146"/>
      <c r="D127" s="146"/>
      <c r="E127" s="102"/>
      <c r="F127" s="100" t="s">
        <v>33</v>
      </c>
      <c r="G127" s="100">
        <v>250</v>
      </c>
      <c r="H127" s="101">
        <v>5.89</v>
      </c>
      <c r="I127" s="101">
        <v>4.65</v>
      </c>
      <c r="J127" s="101">
        <v>19.98</v>
      </c>
      <c r="K127" s="101">
        <v>147</v>
      </c>
      <c r="L127" s="101">
        <v>0.06</v>
      </c>
      <c r="M127" s="101">
        <v>0.25</v>
      </c>
      <c r="N127" s="101">
        <v>11.5</v>
      </c>
      <c r="O127" s="101">
        <v>0.26</v>
      </c>
      <c r="P127" s="101">
        <v>38.4</v>
      </c>
      <c r="Q127" s="101">
        <v>34.87</v>
      </c>
      <c r="R127" s="101">
        <v>88.32</v>
      </c>
      <c r="S127" s="101">
        <v>2.08</v>
      </c>
    </row>
    <row r="128" spans="1:19" s="56" customFormat="1" ht="12.75">
      <c r="A128" s="146" t="s">
        <v>34</v>
      </c>
      <c r="B128" s="146"/>
      <c r="C128" s="146"/>
      <c r="D128" s="146"/>
      <c r="E128" s="102"/>
      <c r="F128" s="100" t="s">
        <v>35</v>
      </c>
      <c r="G128" s="100" t="s">
        <v>135</v>
      </c>
      <c r="H128" s="100">
        <v>12.05</v>
      </c>
      <c r="I128" s="100">
        <v>9.8</v>
      </c>
      <c r="J128" s="100">
        <v>2.25</v>
      </c>
      <c r="K128" s="101">
        <v>145</v>
      </c>
      <c r="L128" s="100">
        <v>0.08</v>
      </c>
      <c r="M128" s="100">
        <v>0.07</v>
      </c>
      <c r="N128" s="100">
        <v>0.52</v>
      </c>
      <c r="O128" s="100">
        <v>2.45</v>
      </c>
      <c r="P128" s="100">
        <v>18.53</v>
      </c>
      <c r="Q128" s="100">
        <v>15.68</v>
      </c>
      <c r="R128" s="100">
        <v>128.74</v>
      </c>
      <c r="S128" s="100">
        <v>1.03</v>
      </c>
    </row>
    <row r="129" spans="1:19" s="56" customFormat="1" ht="12.75">
      <c r="A129" s="146" t="s">
        <v>36</v>
      </c>
      <c r="B129" s="146"/>
      <c r="C129" s="146"/>
      <c r="D129" s="146"/>
      <c r="E129" s="102"/>
      <c r="F129" s="100" t="s">
        <v>37</v>
      </c>
      <c r="G129" s="100">
        <v>180</v>
      </c>
      <c r="H129" s="101">
        <v>6.38</v>
      </c>
      <c r="I129" s="101">
        <v>5.87</v>
      </c>
      <c r="J129" s="101">
        <v>42.62</v>
      </c>
      <c r="K129" s="101">
        <v>253</v>
      </c>
      <c r="L129" s="101">
        <v>0.06</v>
      </c>
      <c r="M129" s="101">
        <v>0.13</v>
      </c>
      <c r="N129" s="101">
        <v>0</v>
      </c>
      <c r="O129" s="101">
        <v>0.92</v>
      </c>
      <c r="P129" s="101">
        <v>12.37</v>
      </c>
      <c r="Q129" s="101">
        <v>9.8</v>
      </c>
      <c r="R129" s="101">
        <v>45.28</v>
      </c>
      <c r="S129" s="101">
        <v>0.82</v>
      </c>
    </row>
    <row r="130" spans="1:19" s="56" customFormat="1" ht="12.75">
      <c r="A130" s="146" t="s">
        <v>38</v>
      </c>
      <c r="B130" s="146"/>
      <c r="C130" s="146"/>
      <c r="D130" s="146"/>
      <c r="E130" s="102"/>
      <c r="F130" s="100" t="s">
        <v>39</v>
      </c>
      <c r="G130" s="100">
        <v>200</v>
      </c>
      <c r="H130" s="101">
        <v>0.34</v>
      </c>
      <c r="I130" s="101">
        <v>0.02</v>
      </c>
      <c r="J130" s="101">
        <v>24.53</v>
      </c>
      <c r="K130" s="101">
        <v>95</v>
      </c>
      <c r="L130" s="101">
        <v>0</v>
      </c>
      <c r="M130" s="101">
        <v>0</v>
      </c>
      <c r="N130" s="101">
        <v>1.04</v>
      </c>
      <c r="O130" s="101">
        <v>0.05</v>
      </c>
      <c r="P130" s="101">
        <v>6.13</v>
      </c>
      <c r="Q130" s="101">
        <v>3.98</v>
      </c>
      <c r="R130" s="101">
        <v>7.21</v>
      </c>
      <c r="S130" s="101">
        <v>0.58</v>
      </c>
    </row>
    <row r="131" spans="1:19" s="56" customFormat="1" ht="12.75">
      <c r="A131" s="147" t="s">
        <v>40</v>
      </c>
      <c r="B131" s="147"/>
      <c r="C131" s="147"/>
      <c r="D131" s="147"/>
      <c r="E131" s="102"/>
      <c r="F131" s="100"/>
      <c r="G131" s="100">
        <v>60</v>
      </c>
      <c r="H131" s="101">
        <v>2.82</v>
      </c>
      <c r="I131" s="101">
        <v>0.6</v>
      </c>
      <c r="J131" s="101">
        <v>0.6</v>
      </c>
      <c r="K131" s="101">
        <v>126</v>
      </c>
      <c r="L131" s="101">
        <v>0</v>
      </c>
      <c r="M131" s="101">
        <v>0.04</v>
      </c>
      <c r="N131" s="101">
        <v>0</v>
      </c>
      <c r="O131" s="101">
        <v>0.78</v>
      </c>
      <c r="P131" s="101">
        <v>14.4</v>
      </c>
      <c r="Q131" s="101">
        <v>11.4</v>
      </c>
      <c r="R131" s="101">
        <v>52.2</v>
      </c>
      <c r="S131" s="101">
        <v>2.24</v>
      </c>
    </row>
    <row r="132" spans="1:19" s="119" customFormat="1" ht="12.75">
      <c r="A132" s="158" t="s">
        <v>30</v>
      </c>
      <c r="B132" s="158"/>
      <c r="C132" s="158"/>
      <c r="D132" s="158"/>
      <c r="E132" s="120"/>
      <c r="F132" s="121"/>
      <c r="G132" s="121"/>
      <c r="H132" s="122">
        <f aca="true" t="shared" si="19" ref="H132:S132">SUM(H126:H131)</f>
        <v>28.27</v>
      </c>
      <c r="I132" s="122">
        <f t="shared" si="19"/>
        <v>21.950000000000003</v>
      </c>
      <c r="J132" s="122">
        <f t="shared" si="19"/>
        <v>91.41999999999999</v>
      </c>
      <c r="K132" s="122">
        <f t="shared" si="19"/>
        <v>871</v>
      </c>
      <c r="L132" s="122">
        <f t="shared" si="19"/>
        <v>0.25</v>
      </c>
      <c r="M132" s="122">
        <f t="shared" si="19"/>
        <v>0.6900000000000001</v>
      </c>
      <c r="N132" s="122">
        <f t="shared" si="19"/>
        <v>22.16</v>
      </c>
      <c r="O132" s="122">
        <f t="shared" si="19"/>
        <v>8.96</v>
      </c>
      <c r="P132" s="122">
        <f t="shared" si="19"/>
        <v>111.56</v>
      </c>
      <c r="Q132" s="122">
        <f t="shared" si="19"/>
        <v>88.47000000000001</v>
      </c>
      <c r="R132" s="122">
        <f t="shared" si="19"/>
        <v>361.56999999999994</v>
      </c>
      <c r="S132" s="122">
        <f t="shared" si="19"/>
        <v>7.320000000000001</v>
      </c>
    </row>
    <row r="133" spans="1:19" s="112" customFormat="1" ht="12.75">
      <c r="A133" s="157" t="s">
        <v>41</v>
      </c>
      <c r="B133" s="157"/>
      <c r="C133" s="157"/>
      <c r="D133" s="157"/>
      <c r="E133" s="116"/>
      <c r="F133" s="117"/>
      <c r="G133" s="117"/>
      <c r="H133" s="118">
        <f>SUM(H124+H132)</f>
        <v>58.760909090909095</v>
      </c>
      <c r="I133" s="118">
        <f aca="true" t="shared" si="20" ref="I133:S133">SUM(I124+I132)</f>
        <v>39.95454545454545</v>
      </c>
      <c r="J133" s="118">
        <f t="shared" si="20"/>
        <v>156.44363636363636</v>
      </c>
      <c r="K133" s="118">
        <f t="shared" si="20"/>
        <v>1420.7272727272727</v>
      </c>
      <c r="L133" s="118">
        <f t="shared" si="20"/>
        <v>0.43272727272727274</v>
      </c>
      <c r="M133" s="118">
        <f t="shared" si="20"/>
        <v>1.021818181818182</v>
      </c>
      <c r="N133" s="118">
        <f t="shared" si="20"/>
        <v>24.53</v>
      </c>
      <c r="O133" s="118">
        <f t="shared" si="20"/>
        <v>10.337272727272728</v>
      </c>
      <c r="P133" s="118">
        <f t="shared" si="20"/>
        <v>573.5645454545454</v>
      </c>
      <c r="Q133" s="118">
        <f t="shared" si="20"/>
        <v>131.10636363636365</v>
      </c>
      <c r="R133" s="118">
        <f t="shared" si="20"/>
        <v>738.6899999999999</v>
      </c>
      <c r="S133" s="118">
        <f t="shared" si="20"/>
        <v>11.540000000000001</v>
      </c>
    </row>
    <row r="134" spans="1:19" s="56" customFormat="1" ht="12.75">
      <c r="A134" s="151" t="s">
        <v>1</v>
      </c>
      <c r="B134" s="151"/>
      <c r="C134" s="151"/>
      <c r="D134" s="151"/>
      <c r="E134" s="88"/>
      <c r="F134" s="145" t="s">
        <v>2</v>
      </c>
      <c r="G134" s="145" t="s">
        <v>3</v>
      </c>
      <c r="H134" s="144" t="s">
        <v>4</v>
      </c>
      <c r="I134" s="144"/>
      <c r="J134" s="144"/>
      <c r="K134" s="144"/>
      <c r="L134" s="144" t="s">
        <v>5</v>
      </c>
      <c r="M134" s="144"/>
      <c r="N134" s="144"/>
      <c r="O134" s="144"/>
      <c r="P134" s="144"/>
      <c r="Q134" s="144"/>
      <c r="R134" s="144"/>
      <c r="S134" s="144"/>
    </row>
    <row r="135" spans="1:19" s="56" customFormat="1" ht="25.5">
      <c r="A135" s="151"/>
      <c r="B135" s="151"/>
      <c r="C135" s="151"/>
      <c r="D135" s="151"/>
      <c r="E135" s="87"/>
      <c r="F135" s="145"/>
      <c r="G135" s="145"/>
      <c r="H135" s="90" t="s">
        <v>6</v>
      </c>
      <c r="I135" s="90" t="s">
        <v>7</v>
      </c>
      <c r="J135" s="90" t="s">
        <v>8</v>
      </c>
      <c r="K135" s="91" t="s">
        <v>9</v>
      </c>
      <c r="L135" s="89" t="s">
        <v>10</v>
      </c>
      <c r="M135" s="89" t="s">
        <v>11</v>
      </c>
      <c r="N135" s="89" t="s">
        <v>12</v>
      </c>
      <c r="O135" s="89" t="s">
        <v>13</v>
      </c>
      <c r="P135" s="89" t="s">
        <v>14</v>
      </c>
      <c r="Q135" s="89" t="s">
        <v>15</v>
      </c>
      <c r="R135" s="89" t="s">
        <v>16</v>
      </c>
      <c r="S135" s="89" t="s">
        <v>17</v>
      </c>
    </row>
    <row r="136" spans="1:19" s="56" customFormat="1" ht="12.75">
      <c r="A136" s="152" t="s">
        <v>99</v>
      </c>
      <c r="B136" s="152"/>
      <c r="C136" s="152"/>
      <c r="D136" s="152"/>
      <c r="E136" s="92"/>
      <c r="F136" s="93"/>
      <c r="G136" s="93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1:19" s="56" customFormat="1" ht="12.75">
      <c r="A137" s="153" t="s">
        <v>19</v>
      </c>
      <c r="B137" s="153"/>
      <c r="C137" s="153"/>
      <c r="D137" s="153"/>
      <c r="E137" s="95"/>
      <c r="F137" s="96"/>
      <c r="G137" s="93" t="s">
        <v>20</v>
      </c>
      <c r="H137" s="94" t="s">
        <v>20</v>
      </c>
      <c r="I137" s="94"/>
      <c r="J137" s="94" t="s">
        <v>20</v>
      </c>
      <c r="K137" s="94" t="s">
        <v>20</v>
      </c>
      <c r="L137" s="97"/>
      <c r="M137" s="97"/>
      <c r="N137" s="97"/>
      <c r="O137" s="97"/>
      <c r="P137" s="97"/>
      <c r="Q137" s="97"/>
      <c r="R137" s="97"/>
      <c r="S137" s="97"/>
    </row>
    <row r="138" spans="1:19" s="56" customFormat="1" ht="12.75">
      <c r="A138" s="146" t="s">
        <v>57</v>
      </c>
      <c r="B138" s="146"/>
      <c r="C138" s="146"/>
      <c r="D138" s="146"/>
      <c r="E138" s="98"/>
      <c r="F138" s="99" t="s">
        <v>58</v>
      </c>
      <c r="G138" s="100">
        <v>40</v>
      </c>
      <c r="H138" s="101">
        <v>1.2</v>
      </c>
      <c r="I138" s="101">
        <v>4.3</v>
      </c>
      <c r="J138" s="101">
        <v>22</v>
      </c>
      <c r="K138" s="101">
        <v>132</v>
      </c>
      <c r="L138" s="101">
        <v>0.03</v>
      </c>
      <c r="M138" s="101">
        <v>0.02</v>
      </c>
      <c r="N138" s="101">
        <v>8</v>
      </c>
      <c r="O138" s="101">
        <v>0.4</v>
      </c>
      <c r="P138" s="101">
        <v>8</v>
      </c>
      <c r="Q138" s="101">
        <v>5</v>
      </c>
      <c r="R138" s="101">
        <v>14</v>
      </c>
      <c r="S138" s="101">
        <v>0.3</v>
      </c>
    </row>
    <row r="139" spans="1:19" s="56" customFormat="1" ht="12.75">
      <c r="A139" s="146" t="s">
        <v>44</v>
      </c>
      <c r="B139" s="146"/>
      <c r="C139" s="146"/>
      <c r="D139" s="146"/>
      <c r="E139" s="102"/>
      <c r="F139" s="100" t="s">
        <v>25</v>
      </c>
      <c r="G139" s="100" t="s">
        <v>26</v>
      </c>
      <c r="H139" s="101">
        <f>5.55*200/150</f>
        <v>7.4</v>
      </c>
      <c r="I139" s="101">
        <f>10.46*200/150</f>
        <v>13.946666666666667</v>
      </c>
      <c r="J139" s="101">
        <f>23.97*200/150</f>
        <v>31.96</v>
      </c>
      <c r="K139" s="101">
        <f>213*200/150</f>
        <v>284</v>
      </c>
      <c r="L139" s="101">
        <f>0.05*200/150</f>
        <v>0.06666666666666667</v>
      </c>
      <c r="M139" s="101">
        <f>0.15*200/150</f>
        <v>0.2</v>
      </c>
      <c r="N139" s="101">
        <f>0.92*200/150</f>
        <v>1.2266666666666666</v>
      </c>
      <c r="O139" s="101">
        <f>0.26*200/150</f>
        <v>0.3466666666666667</v>
      </c>
      <c r="P139" s="101">
        <f>105.93*200/150</f>
        <v>141.24</v>
      </c>
      <c r="Q139" s="101">
        <f>47.51*200/150</f>
        <v>63.346666666666664</v>
      </c>
      <c r="R139" s="101">
        <v>148.1</v>
      </c>
      <c r="S139" s="101">
        <v>1.32</v>
      </c>
    </row>
    <row r="140" spans="1:19" s="56" customFormat="1" ht="12.75">
      <c r="A140" s="146" t="s">
        <v>27</v>
      </c>
      <c r="B140" s="146"/>
      <c r="C140" s="146"/>
      <c r="D140" s="146"/>
      <c r="E140" s="102"/>
      <c r="F140" s="100" t="s">
        <v>28</v>
      </c>
      <c r="G140" s="100">
        <v>200</v>
      </c>
      <c r="H140" s="101">
        <v>0.26</v>
      </c>
      <c r="I140" s="101">
        <v>0.06</v>
      </c>
      <c r="J140" s="101">
        <v>15.22</v>
      </c>
      <c r="K140" s="101">
        <v>59</v>
      </c>
      <c r="L140" s="101">
        <v>0</v>
      </c>
      <c r="M140" s="101">
        <v>0</v>
      </c>
      <c r="N140" s="101">
        <v>2.9</v>
      </c>
      <c r="O140" s="101">
        <v>0</v>
      </c>
      <c r="P140" s="101">
        <v>8.05</v>
      </c>
      <c r="Q140" s="101">
        <v>5.24</v>
      </c>
      <c r="R140" s="101">
        <v>9.78</v>
      </c>
      <c r="S140" s="101">
        <v>0.91</v>
      </c>
    </row>
    <row r="141" spans="1:19" s="56" customFormat="1" ht="12.75">
      <c r="A141" s="147" t="s">
        <v>29</v>
      </c>
      <c r="B141" s="147"/>
      <c r="C141" s="147"/>
      <c r="D141" s="147"/>
      <c r="E141" s="102"/>
      <c r="F141" s="100"/>
      <c r="G141" s="100">
        <v>50</v>
      </c>
      <c r="H141" s="101">
        <v>3.8</v>
      </c>
      <c r="I141" s="101">
        <v>0.4</v>
      </c>
      <c r="J141" s="101">
        <v>24.3</v>
      </c>
      <c r="K141" s="101">
        <v>119</v>
      </c>
      <c r="L141" s="101">
        <v>0</v>
      </c>
      <c r="M141" s="101">
        <v>0.06</v>
      </c>
      <c r="N141" s="101">
        <v>0</v>
      </c>
      <c r="O141" s="101">
        <v>0.55</v>
      </c>
      <c r="P141" s="101">
        <v>10</v>
      </c>
      <c r="Q141" s="101">
        <v>7</v>
      </c>
      <c r="R141" s="101">
        <v>32.5</v>
      </c>
      <c r="S141" s="101">
        <v>0.55</v>
      </c>
    </row>
    <row r="142" spans="1:19" s="56" customFormat="1" ht="12.75">
      <c r="A142" s="148" t="s">
        <v>30</v>
      </c>
      <c r="B142" s="148"/>
      <c r="C142" s="148"/>
      <c r="D142" s="148"/>
      <c r="E142" s="103"/>
      <c r="F142" s="104"/>
      <c r="G142" s="104" t="s">
        <v>20</v>
      </c>
      <c r="H142" s="105">
        <f>H138+H139+H140+H141</f>
        <v>12.66</v>
      </c>
      <c r="I142" s="105">
        <f aca="true" t="shared" si="21" ref="I142:S142">SUM(I138:I141)</f>
        <v>18.706666666666663</v>
      </c>
      <c r="J142" s="105">
        <f t="shared" si="21"/>
        <v>93.48</v>
      </c>
      <c r="K142" s="105">
        <f t="shared" si="21"/>
        <v>594</v>
      </c>
      <c r="L142" s="105">
        <f t="shared" si="21"/>
        <v>0.09666666666666666</v>
      </c>
      <c r="M142" s="105">
        <f t="shared" si="21"/>
        <v>0.28</v>
      </c>
      <c r="N142" s="105">
        <f t="shared" si="21"/>
        <v>12.126666666666667</v>
      </c>
      <c r="O142" s="105">
        <f t="shared" si="21"/>
        <v>1.2966666666666669</v>
      </c>
      <c r="P142" s="105">
        <f t="shared" si="21"/>
        <v>167.29000000000002</v>
      </c>
      <c r="Q142" s="105">
        <f t="shared" si="21"/>
        <v>80.58666666666666</v>
      </c>
      <c r="R142" s="105">
        <f t="shared" si="21"/>
        <v>204.38</v>
      </c>
      <c r="S142" s="105">
        <f t="shared" si="21"/>
        <v>3.08</v>
      </c>
    </row>
    <row r="143" spans="1:19" s="56" customFormat="1" ht="12.75">
      <c r="A143" s="149" t="s">
        <v>31</v>
      </c>
      <c r="B143" s="149"/>
      <c r="C143" s="149"/>
      <c r="D143" s="149"/>
      <c r="E143" s="92"/>
      <c r="F143" s="93"/>
      <c r="G143" s="93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1:19" s="56" customFormat="1" ht="12.75">
      <c r="A144" s="146" t="s">
        <v>115</v>
      </c>
      <c r="B144" s="146"/>
      <c r="C144" s="146"/>
      <c r="D144" s="146"/>
      <c r="E144" s="102"/>
      <c r="F144" s="100" t="s">
        <v>116</v>
      </c>
      <c r="G144" s="100">
        <v>100</v>
      </c>
      <c r="H144" s="101">
        <v>1.06</v>
      </c>
      <c r="I144" s="101">
        <v>10.13</v>
      </c>
      <c r="J144" s="101">
        <v>4.52</v>
      </c>
      <c r="K144" s="101">
        <v>114</v>
      </c>
      <c r="L144" s="101">
        <v>0.85</v>
      </c>
      <c r="M144" s="101">
        <v>0.05</v>
      </c>
      <c r="N144" s="101">
        <v>19.75</v>
      </c>
      <c r="O144" s="101">
        <v>4.94</v>
      </c>
      <c r="P144" s="101">
        <v>16.14</v>
      </c>
      <c r="Q144" s="101">
        <v>17</v>
      </c>
      <c r="R144" s="101">
        <v>14.06</v>
      </c>
      <c r="S144" s="101">
        <v>0.8</v>
      </c>
    </row>
    <row r="145" spans="1:19" s="56" customFormat="1" ht="12.75">
      <c r="A145" s="146" t="s">
        <v>47</v>
      </c>
      <c r="B145" s="146"/>
      <c r="C145" s="146"/>
      <c r="D145" s="146"/>
      <c r="E145" s="102"/>
      <c r="F145" s="100" t="s">
        <v>48</v>
      </c>
      <c r="G145" s="100" t="s">
        <v>49</v>
      </c>
      <c r="H145" s="101">
        <v>1.8</v>
      </c>
      <c r="I145" s="101">
        <v>6.2</v>
      </c>
      <c r="J145" s="101">
        <v>9</v>
      </c>
      <c r="K145" s="101">
        <v>107</v>
      </c>
      <c r="L145" s="101">
        <v>0.11</v>
      </c>
      <c r="M145" s="101">
        <v>0.04</v>
      </c>
      <c r="N145" s="101">
        <v>10.99</v>
      </c>
      <c r="O145" s="101">
        <v>0.21</v>
      </c>
      <c r="P145" s="101">
        <v>47.11</v>
      </c>
      <c r="Q145" s="101">
        <v>24.21</v>
      </c>
      <c r="R145" s="101">
        <v>53.88</v>
      </c>
      <c r="S145" s="101">
        <v>1.17</v>
      </c>
    </row>
    <row r="146" spans="1:19" s="56" customFormat="1" ht="12.75">
      <c r="A146" s="146" t="s">
        <v>111</v>
      </c>
      <c r="B146" s="146"/>
      <c r="C146" s="146"/>
      <c r="D146" s="146"/>
      <c r="E146" s="102"/>
      <c r="F146" s="100" t="s">
        <v>112</v>
      </c>
      <c r="G146" s="100" t="s">
        <v>130</v>
      </c>
      <c r="H146" s="101">
        <v>16.88</v>
      </c>
      <c r="I146" s="101">
        <v>17.78</v>
      </c>
      <c r="J146" s="101">
        <v>4.5</v>
      </c>
      <c r="K146" s="101">
        <v>199</v>
      </c>
      <c r="L146" s="101">
        <v>0.08</v>
      </c>
      <c r="M146" s="101">
        <v>0.07</v>
      </c>
      <c r="N146" s="101">
        <v>0.52</v>
      </c>
      <c r="O146" s="101">
        <v>2.45</v>
      </c>
      <c r="P146" s="101">
        <v>18.53</v>
      </c>
      <c r="Q146" s="101">
        <v>15.68</v>
      </c>
      <c r="R146" s="101">
        <v>128.74</v>
      </c>
      <c r="S146" s="101">
        <v>1.03</v>
      </c>
    </row>
    <row r="147" spans="1:19" s="56" customFormat="1" ht="12.75">
      <c r="A147" s="146" t="s">
        <v>102</v>
      </c>
      <c r="B147" s="146"/>
      <c r="C147" s="146"/>
      <c r="D147" s="146"/>
      <c r="E147" s="102"/>
      <c r="F147" s="100" t="s">
        <v>103</v>
      </c>
      <c r="G147" s="100">
        <v>180</v>
      </c>
      <c r="H147" s="101">
        <v>4.58</v>
      </c>
      <c r="I147" s="101">
        <v>7.33</v>
      </c>
      <c r="J147" s="101">
        <v>46.33</v>
      </c>
      <c r="K147" s="101">
        <v>275</v>
      </c>
      <c r="L147" s="101">
        <v>0.08</v>
      </c>
      <c r="M147" s="101">
        <v>0.04</v>
      </c>
      <c r="N147" s="101">
        <v>0</v>
      </c>
      <c r="O147" s="101">
        <v>0.53</v>
      </c>
      <c r="P147" s="101">
        <v>6.15</v>
      </c>
      <c r="Q147" s="101">
        <v>32.43</v>
      </c>
      <c r="R147" s="101">
        <v>98.74</v>
      </c>
      <c r="S147" s="101">
        <v>0.67</v>
      </c>
    </row>
    <row r="148" spans="1:19" s="56" customFormat="1" ht="12.75">
      <c r="A148" s="146" t="s">
        <v>54</v>
      </c>
      <c r="B148" s="146"/>
      <c r="C148" s="146"/>
      <c r="D148" s="146"/>
      <c r="E148" s="102"/>
      <c r="F148" s="100" t="s">
        <v>55</v>
      </c>
      <c r="G148" s="100">
        <v>200</v>
      </c>
      <c r="H148" s="101">
        <v>0.44</v>
      </c>
      <c r="I148" s="101">
        <v>0</v>
      </c>
      <c r="J148" s="101">
        <v>28.88</v>
      </c>
      <c r="K148" s="101">
        <v>116</v>
      </c>
      <c r="L148" s="101">
        <v>0</v>
      </c>
      <c r="M148" s="101">
        <v>0</v>
      </c>
      <c r="N148" s="101">
        <v>0.4</v>
      </c>
      <c r="O148" s="101">
        <v>0</v>
      </c>
      <c r="P148" s="101">
        <v>44.8</v>
      </c>
      <c r="Q148" s="101">
        <v>6</v>
      </c>
      <c r="R148" s="101">
        <v>15.4</v>
      </c>
      <c r="S148" s="101">
        <v>1.26</v>
      </c>
    </row>
    <row r="149" spans="1:19" s="56" customFormat="1" ht="12.75">
      <c r="A149" s="147" t="s">
        <v>40</v>
      </c>
      <c r="B149" s="147"/>
      <c r="C149" s="147"/>
      <c r="D149" s="147"/>
      <c r="E149" s="102"/>
      <c r="F149" s="100"/>
      <c r="G149" s="100">
        <v>60</v>
      </c>
      <c r="H149" s="101">
        <v>2.82</v>
      </c>
      <c r="I149" s="101">
        <v>0.6</v>
      </c>
      <c r="J149" s="101">
        <v>0.6</v>
      </c>
      <c r="K149" s="101">
        <v>126</v>
      </c>
      <c r="L149" s="101">
        <v>0</v>
      </c>
      <c r="M149" s="101">
        <v>0.08</v>
      </c>
      <c r="N149" s="101">
        <v>0</v>
      </c>
      <c r="O149" s="101">
        <v>0.78</v>
      </c>
      <c r="P149" s="101">
        <v>14.4</v>
      </c>
      <c r="Q149" s="101">
        <v>11.4</v>
      </c>
      <c r="R149" s="101">
        <v>52.2</v>
      </c>
      <c r="S149" s="101">
        <v>2.24</v>
      </c>
    </row>
    <row r="150" spans="1:19" s="112" customFormat="1" ht="12.75">
      <c r="A150" s="156" t="s">
        <v>30</v>
      </c>
      <c r="B150" s="156"/>
      <c r="C150" s="156"/>
      <c r="D150" s="156"/>
      <c r="E150" s="113"/>
      <c r="F150" s="114"/>
      <c r="G150" s="114"/>
      <c r="H150" s="115">
        <f aca="true" t="shared" si="22" ref="H150:S150">SUM(H144:H149)</f>
        <v>27.580000000000002</v>
      </c>
      <c r="I150" s="115">
        <f t="shared" si="22"/>
        <v>42.04</v>
      </c>
      <c r="J150" s="115">
        <f t="shared" si="22"/>
        <v>93.82999999999998</v>
      </c>
      <c r="K150" s="115">
        <f t="shared" si="22"/>
        <v>937</v>
      </c>
      <c r="L150" s="115">
        <f t="shared" si="22"/>
        <v>1.12</v>
      </c>
      <c r="M150" s="115">
        <f t="shared" si="22"/>
        <v>0.28</v>
      </c>
      <c r="N150" s="115">
        <f t="shared" si="22"/>
        <v>31.66</v>
      </c>
      <c r="O150" s="115">
        <f t="shared" si="22"/>
        <v>8.91</v>
      </c>
      <c r="P150" s="115">
        <f t="shared" si="22"/>
        <v>147.13000000000002</v>
      </c>
      <c r="Q150" s="115">
        <f t="shared" si="22"/>
        <v>106.72</v>
      </c>
      <c r="R150" s="115">
        <f t="shared" si="22"/>
        <v>363.02</v>
      </c>
      <c r="S150" s="115">
        <f t="shared" si="22"/>
        <v>7.17</v>
      </c>
    </row>
    <row r="151" spans="1:19" s="112" customFormat="1" ht="12.75">
      <c r="A151" s="157" t="s">
        <v>41</v>
      </c>
      <c r="B151" s="157"/>
      <c r="C151" s="157"/>
      <c r="D151" s="157"/>
      <c r="E151" s="116"/>
      <c r="F151" s="117"/>
      <c r="G151" s="117"/>
      <c r="H151" s="118">
        <f>SUM(H142+H150)</f>
        <v>40.24</v>
      </c>
      <c r="I151" s="118">
        <f aca="true" t="shared" si="23" ref="I151:S151">SUM(I142+I150)</f>
        <v>60.74666666666666</v>
      </c>
      <c r="J151" s="118">
        <f t="shared" si="23"/>
        <v>187.31</v>
      </c>
      <c r="K151" s="118">
        <f t="shared" si="23"/>
        <v>1531</v>
      </c>
      <c r="L151" s="118">
        <f t="shared" si="23"/>
        <v>1.2166666666666668</v>
      </c>
      <c r="M151" s="118">
        <f t="shared" si="23"/>
        <v>0.56</v>
      </c>
      <c r="N151" s="118">
        <f t="shared" si="23"/>
        <v>43.78666666666667</v>
      </c>
      <c r="O151" s="118">
        <f t="shared" si="23"/>
        <v>10.206666666666667</v>
      </c>
      <c r="P151" s="118">
        <f t="shared" si="23"/>
        <v>314.4200000000001</v>
      </c>
      <c r="Q151" s="118">
        <f t="shared" si="23"/>
        <v>187.30666666666667</v>
      </c>
      <c r="R151" s="118">
        <f t="shared" si="23"/>
        <v>567.4</v>
      </c>
      <c r="S151" s="118">
        <f t="shared" si="23"/>
        <v>10.25</v>
      </c>
    </row>
    <row r="152" spans="1:19" s="56" customFormat="1" ht="12.75">
      <c r="A152" s="152" t="s">
        <v>104</v>
      </c>
      <c r="B152" s="152"/>
      <c r="C152" s="152"/>
      <c r="D152" s="152"/>
      <c r="E152" s="92"/>
      <c r="F152" s="93"/>
      <c r="G152" s="93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1:19" s="56" customFormat="1" ht="12.75">
      <c r="A153" s="153" t="s">
        <v>19</v>
      </c>
      <c r="B153" s="153"/>
      <c r="C153" s="153"/>
      <c r="D153" s="153"/>
      <c r="E153" s="95"/>
      <c r="F153" s="96"/>
      <c r="G153" s="93" t="s">
        <v>20</v>
      </c>
      <c r="H153" s="94" t="s">
        <v>20</v>
      </c>
      <c r="I153" s="94"/>
      <c r="J153" s="94" t="s">
        <v>20</v>
      </c>
      <c r="K153" s="94" t="s">
        <v>20</v>
      </c>
      <c r="L153" s="97"/>
      <c r="M153" s="97"/>
      <c r="N153" s="97"/>
      <c r="O153" s="97"/>
      <c r="P153" s="97"/>
      <c r="Q153" s="97"/>
      <c r="R153" s="97"/>
      <c r="S153" s="97"/>
    </row>
    <row r="154" spans="1:19" s="56" customFormat="1" ht="12.75">
      <c r="A154" s="146" t="s">
        <v>21</v>
      </c>
      <c r="B154" s="146"/>
      <c r="C154" s="146"/>
      <c r="D154" s="146"/>
      <c r="E154" s="98"/>
      <c r="F154" s="99" t="s">
        <v>22</v>
      </c>
      <c r="G154" s="100">
        <v>15</v>
      </c>
      <c r="H154" s="101">
        <v>0.075</v>
      </c>
      <c r="I154" s="101">
        <v>12.37</v>
      </c>
      <c r="J154" s="101">
        <v>0.08</v>
      </c>
      <c r="K154" s="101">
        <v>112.5</v>
      </c>
      <c r="L154" s="101" t="s">
        <v>23</v>
      </c>
      <c r="M154" s="101">
        <v>0</v>
      </c>
      <c r="N154" s="101">
        <v>0</v>
      </c>
      <c r="O154" s="101">
        <v>0</v>
      </c>
      <c r="P154" s="101">
        <v>1.8</v>
      </c>
      <c r="Q154" s="101">
        <v>0.06</v>
      </c>
      <c r="R154" s="101">
        <v>2.85</v>
      </c>
      <c r="S154" s="101">
        <v>0.03</v>
      </c>
    </row>
    <row r="155" spans="1:19" s="56" customFormat="1" ht="12.75">
      <c r="A155" s="146" t="s">
        <v>59</v>
      </c>
      <c r="B155" s="146"/>
      <c r="C155" s="146"/>
      <c r="D155" s="146"/>
      <c r="E155" s="102"/>
      <c r="F155" s="100" t="s">
        <v>25</v>
      </c>
      <c r="G155" s="100" t="s">
        <v>26</v>
      </c>
      <c r="H155" s="101">
        <f>4.78*200/150</f>
        <v>6.373333333333333</v>
      </c>
      <c r="I155" s="101">
        <f>8.01*200/150</f>
        <v>10.68</v>
      </c>
      <c r="J155" s="101">
        <f>24.11*200/150</f>
        <v>32.14666666666667</v>
      </c>
      <c r="K155" s="101">
        <f>192*200/150</f>
        <v>256</v>
      </c>
      <c r="L155" s="101">
        <v>0.08</v>
      </c>
      <c r="M155" s="101">
        <f>0.07*200/150</f>
        <v>0.09333333333333335</v>
      </c>
      <c r="N155" s="101">
        <f>0.99*200/150</f>
        <v>1.32</v>
      </c>
      <c r="O155" s="101">
        <v>0.7</v>
      </c>
      <c r="P155" s="101">
        <f>97.34*200/150</f>
        <v>129.78666666666666</v>
      </c>
      <c r="Q155" s="101">
        <f>22.08*200/150</f>
        <v>29.44</v>
      </c>
      <c r="R155" s="101">
        <f>103.8*200/150</f>
        <v>138.4</v>
      </c>
      <c r="S155" s="101">
        <f>0.32*200/150</f>
        <v>0.4266666666666667</v>
      </c>
    </row>
    <row r="156" spans="1:19" s="56" customFormat="1" ht="12.75">
      <c r="A156" s="146" t="s">
        <v>45</v>
      </c>
      <c r="B156" s="146"/>
      <c r="C156" s="146"/>
      <c r="D156" s="146"/>
      <c r="E156" s="102"/>
      <c r="F156" s="100" t="s">
        <v>46</v>
      </c>
      <c r="G156" s="100">
        <v>200</v>
      </c>
      <c r="H156" s="101">
        <v>0.2</v>
      </c>
      <c r="I156" s="101">
        <v>0.05</v>
      </c>
      <c r="J156" s="101">
        <v>15.01</v>
      </c>
      <c r="K156" s="101">
        <v>57</v>
      </c>
      <c r="L156" s="101">
        <v>0</v>
      </c>
      <c r="M156" s="101">
        <v>0</v>
      </c>
      <c r="N156" s="101">
        <v>0.1</v>
      </c>
      <c r="O156" s="101">
        <v>0</v>
      </c>
      <c r="P156" s="101">
        <v>5.25</v>
      </c>
      <c r="Q156" s="101">
        <v>4.4</v>
      </c>
      <c r="R156" s="101">
        <v>8.24</v>
      </c>
      <c r="S156" s="101">
        <v>0.87</v>
      </c>
    </row>
    <row r="157" spans="1:19" s="56" customFormat="1" ht="12.75">
      <c r="A157" s="147" t="s">
        <v>29</v>
      </c>
      <c r="B157" s="147"/>
      <c r="C157" s="147"/>
      <c r="D157" s="147"/>
      <c r="E157" s="102"/>
      <c r="F157" s="100"/>
      <c r="G157" s="100">
        <v>50</v>
      </c>
      <c r="H157" s="101">
        <v>3.8</v>
      </c>
      <c r="I157" s="101">
        <v>0.4</v>
      </c>
      <c r="J157" s="101">
        <v>24.3</v>
      </c>
      <c r="K157" s="101">
        <v>119</v>
      </c>
      <c r="L157" s="101">
        <v>0</v>
      </c>
      <c r="M157" s="101">
        <v>0.06</v>
      </c>
      <c r="N157" s="101">
        <v>0</v>
      </c>
      <c r="O157" s="101">
        <v>0.55</v>
      </c>
      <c r="P157" s="101">
        <v>10</v>
      </c>
      <c r="Q157" s="101">
        <v>7</v>
      </c>
      <c r="R157" s="101">
        <v>32.5</v>
      </c>
      <c r="S157" s="101">
        <v>0.55</v>
      </c>
    </row>
    <row r="158" spans="1:19" s="56" customFormat="1" ht="12.75">
      <c r="A158" s="148" t="s">
        <v>30</v>
      </c>
      <c r="B158" s="148"/>
      <c r="C158" s="148"/>
      <c r="D158" s="148"/>
      <c r="E158" s="103"/>
      <c r="F158" s="104"/>
      <c r="G158" s="105" t="s">
        <v>20</v>
      </c>
      <c r="H158" s="105">
        <f>H154+H155+H156+H157</f>
        <v>10.448333333333334</v>
      </c>
      <c r="I158" s="105">
        <f aca="true" t="shared" si="24" ref="I158:S158">SUM(I154:I157)</f>
        <v>23.499999999999996</v>
      </c>
      <c r="J158" s="105">
        <f t="shared" si="24"/>
        <v>71.53666666666666</v>
      </c>
      <c r="K158" s="105">
        <f t="shared" si="24"/>
        <v>544.5</v>
      </c>
      <c r="L158" s="105">
        <f t="shared" si="24"/>
        <v>0.08</v>
      </c>
      <c r="M158" s="105">
        <f t="shared" si="24"/>
        <v>0.15333333333333335</v>
      </c>
      <c r="N158" s="105">
        <f t="shared" si="24"/>
        <v>1.4200000000000002</v>
      </c>
      <c r="O158" s="105">
        <f t="shared" si="24"/>
        <v>1.25</v>
      </c>
      <c r="P158" s="105">
        <f t="shared" si="24"/>
        <v>146.83666666666667</v>
      </c>
      <c r="Q158" s="105">
        <f t="shared" si="24"/>
        <v>40.9</v>
      </c>
      <c r="R158" s="105">
        <f t="shared" si="24"/>
        <v>181.99</v>
      </c>
      <c r="S158" s="105">
        <f t="shared" si="24"/>
        <v>1.8766666666666667</v>
      </c>
    </row>
    <row r="159" spans="1:19" s="56" customFormat="1" ht="12.75">
      <c r="A159" s="149" t="s">
        <v>31</v>
      </c>
      <c r="B159" s="149"/>
      <c r="C159" s="149"/>
      <c r="D159" s="149"/>
      <c r="E159" s="92"/>
      <c r="F159" s="93"/>
      <c r="G159" s="93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1:19" s="56" customFormat="1" ht="12.75">
      <c r="A160" s="151" t="s">
        <v>1</v>
      </c>
      <c r="B160" s="151"/>
      <c r="C160" s="151"/>
      <c r="D160" s="151"/>
      <c r="E160" s="88"/>
      <c r="F160" s="145" t="s">
        <v>2</v>
      </c>
      <c r="G160" s="145" t="s">
        <v>3</v>
      </c>
      <c r="H160" s="144" t="s">
        <v>4</v>
      </c>
      <c r="I160" s="144"/>
      <c r="J160" s="144"/>
      <c r="K160" s="144"/>
      <c r="L160" s="144" t="s">
        <v>5</v>
      </c>
      <c r="M160" s="144"/>
      <c r="N160" s="144"/>
      <c r="O160" s="144"/>
      <c r="P160" s="144"/>
      <c r="Q160" s="144"/>
      <c r="R160" s="144"/>
      <c r="S160" s="144"/>
    </row>
    <row r="161" spans="1:19" s="56" customFormat="1" ht="25.5">
      <c r="A161" s="151"/>
      <c r="B161" s="151"/>
      <c r="C161" s="151"/>
      <c r="D161" s="151"/>
      <c r="E161" s="87"/>
      <c r="F161" s="145"/>
      <c r="G161" s="145"/>
      <c r="H161" s="90" t="s">
        <v>6</v>
      </c>
      <c r="I161" s="90" t="s">
        <v>7</v>
      </c>
      <c r="J161" s="90" t="s">
        <v>8</v>
      </c>
      <c r="K161" s="91" t="s">
        <v>9</v>
      </c>
      <c r="L161" s="89" t="s">
        <v>10</v>
      </c>
      <c r="M161" s="89" t="s">
        <v>11</v>
      </c>
      <c r="N161" s="89" t="s">
        <v>12</v>
      </c>
      <c r="O161" s="89" t="s">
        <v>13</v>
      </c>
      <c r="P161" s="89" t="s">
        <v>14</v>
      </c>
      <c r="Q161" s="89" t="s">
        <v>15</v>
      </c>
      <c r="R161" s="89" t="s">
        <v>16</v>
      </c>
      <c r="S161" s="89" t="s">
        <v>17</v>
      </c>
    </row>
    <row r="162" spans="1:19" s="56" customFormat="1" ht="12.75">
      <c r="A162" s="146" t="s">
        <v>74</v>
      </c>
      <c r="B162" s="146"/>
      <c r="C162" s="146"/>
      <c r="D162" s="146"/>
      <c r="E162" s="102"/>
      <c r="F162" s="100" t="s">
        <v>75</v>
      </c>
      <c r="G162" s="100" t="s">
        <v>49</v>
      </c>
      <c r="H162" s="101">
        <v>1.8</v>
      </c>
      <c r="I162" s="101">
        <v>5.57</v>
      </c>
      <c r="J162" s="101">
        <v>7.77</v>
      </c>
      <c r="K162" s="101">
        <v>93</v>
      </c>
      <c r="L162" s="101">
        <v>0.05</v>
      </c>
      <c r="M162" s="101">
        <v>0.05</v>
      </c>
      <c r="N162" s="101">
        <v>18.29</v>
      </c>
      <c r="O162" s="101">
        <v>0.17</v>
      </c>
      <c r="P162" s="101">
        <v>49.45</v>
      </c>
      <c r="Q162" s="101">
        <v>21.52</v>
      </c>
      <c r="R162" s="101">
        <v>50.65</v>
      </c>
      <c r="S162" s="101">
        <v>0.83</v>
      </c>
    </row>
    <row r="163" spans="1:19" s="56" customFormat="1" ht="12.75">
      <c r="A163" s="146" t="s">
        <v>105</v>
      </c>
      <c r="B163" s="146"/>
      <c r="C163" s="146"/>
      <c r="D163" s="146"/>
      <c r="E163" s="102"/>
      <c r="F163" s="100" t="s">
        <v>106</v>
      </c>
      <c r="G163" s="100" t="s">
        <v>130</v>
      </c>
      <c r="H163" s="101">
        <v>10.93</v>
      </c>
      <c r="I163" s="101">
        <v>10.04</v>
      </c>
      <c r="J163" s="101">
        <v>13.17</v>
      </c>
      <c r="K163" s="101">
        <v>188</v>
      </c>
      <c r="L163" s="101">
        <v>0.01</v>
      </c>
      <c r="M163" s="101">
        <v>0.05</v>
      </c>
      <c r="N163" s="101">
        <v>1.32</v>
      </c>
      <c r="O163" s="101">
        <v>3.55</v>
      </c>
      <c r="P163" s="101">
        <v>38.66</v>
      </c>
      <c r="Q163" s="101">
        <v>21.19</v>
      </c>
      <c r="R163" s="101">
        <v>92.46</v>
      </c>
      <c r="S163" s="101">
        <v>0.86</v>
      </c>
    </row>
    <row r="164" spans="1:19" s="56" customFormat="1" ht="12.75">
      <c r="A164" s="146" t="s">
        <v>68</v>
      </c>
      <c r="B164" s="146"/>
      <c r="C164" s="146"/>
      <c r="D164" s="146"/>
      <c r="E164" s="102"/>
      <c r="F164" s="100" t="s">
        <v>69</v>
      </c>
      <c r="G164" s="100">
        <v>180</v>
      </c>
      <c r="H164" s="101">
        <v>3.87</v>
      </c>
      <c r="I164" s="101">
        <v>6.68</v>
      </c>
      <c r="J164" s="101">
        <v>26.41</v>
      </c>
      <c r="K164" s="101">
        <v>197</v>
      </c>
      <c r="L164" s="101">
        <v>0.1</v>
      </c>
      <c r="M164" s="101">
        <v>0.35</v>
      </c>
      <c r="N164" s="101">
        <v>31.13</v>
      </c>
      <c r="O164" s="101">
        <v>0.16</v>
      </c>
      <c r="P164" s="101">
        <v>48.55</v>
      </c>
      <c r="Q164" s="101">
        <v>39.21</v>
      </c>
      <c r="R164" s="101">
        <v>24.9</v>
      </c>
      <c r="S164" s="101">
        <v>1.42</v>
      </c>
    </row>
    <row r="165" spans="1:19" s="56" customFormat="1" ht="12.75">
      <c r="A165" s="146" t="s">
        <v>27</v>
      </c>
      <c r="B165" s="146"/>
      <c r="C165" s="146"/>
      <c r="D165" s="146"/>
      <c r="E165" s="102"/>
      <c r="F165" s="100" t="s">
        <v>28</v>
      </c>
      <c r="G165" s="100">
        <v>200</v>
      </c>
      <c r="H165" s="101">
        <v>0.26</v>
      </c>
      <c r="I165" s="101">
        <v>0.06</v>
      </c>
      <c r="J165" s="101">
        <v>15.22</v>
      </c>
      <c r="K165" s="101">
        <v>59</v>
      </c>
      <c r="L165" s="101">
        <v>0</v>
      </c>
      <c r="M165" s="101">
        <v>0</v>
      </c>
      <c r="N165" s="101">
        <v>2.9</v>
      </c>
      <c r="O165" s="101">
        <v>0</v>
      </c>
      <c r="P165" s="101">
        <v>8.05</v>
      </c>
      <c r="Q165" s="101">
        <v>5.24</v>
      </c>
      <c r="R165" s="101">
        <v>9.78</v>
      </c>
      <c r="S165" s="101">
        <v>0.91</v>
      </c>
    </row>
    <row r="166" spans="1:19" s="56" customFormat="1" ht="12.75">
      <c r="A166" s="147" t="s">
        <v>40</v>
      </c>
      <c r="B166" s="147"/>
      <c r="C166" s="147"/>
      <c r="D166" s="147"/>
      <c r="E166" s="102"/>
      <c r="F166" s="100"/>
      <c r="G166" s="100">
        <v>60</v>
      </c>
      <c r="H166" s="101">
        <v>2.82</v>
      </c>
      <c r="I166" s="101">
        <v>0.6</v>
      </c>
      <c r="J166" s="101">
        <v>0.6</v>
      </c>
      <c r="K166" s="101">
        <v>126</v>
      </c>
      <c r="L166" s="101">
        <v>0</v>
      </c>
      <c r="M166" s="101">
        <v>0.04</v>
      </c>
      <c r="N166" s="101">
        <v>0</v>
      </c>
      <c r="O166" s="101">
        <v>0.78</v>
      </c>
      <c r="P166" s="101">
        <v>14.4</v>
      </c>
      <c r="Q166" s="101">
        <v>11.4</v>
      </c>
      <c r="R166" s="101">
        <v>52.2</v>
      </c>
      <c r="S166" s="101">
        <v>2.24</v>
      </c>
    </row>
    <row r="167" spans="1:19" s="112" customFormat="1" ht="12.75">
      <c r="A167" s="156" t="s">
        <v>30</v>
      </c>
      <c r="B167" s="156"/>
      <c r="C167" s="156"/>
      <c r="D167" s="156"/>
      <c r="E167" s="113"/>
      <c r="F167" s="114"/>
      <c r="G167" s="114"/>
      <c r="H167" s="115">
        <f>SUM(H162:H166)</f>
        <v>19.680000000000003</v>
      </c>
      <c r="I167" s="115">
        <f aca="true" t="shared" si="25" ref="I167:S167">SUM(I162:I166)</f>
        <v>22.95</v>
      </c>
      <c r="J167" s="115">
        <f t="shared" si="25"/>
        <v>63.169999999999995</v>
      </c>
      <c r="K167" s="115">
        <f t="shared" si="25"/>
        <v>663</v>
      </c>
      <c r="L167" s="115">
        <f t="shared" si="25"/>
        <v>0.16</v>
      </c>
      <c r="M167" s="115">
        <f t="shared" si="25"/>
        <v>0.48999999999999994</v>
      </c>
      <c r="N167" s="115">
        <f t="shared" si="25"/>
        <v>53.63999999999999</v>
      </c>
      <c r="O167" s="115">
        <f t="shared" si="25"/>
        <v>4.66</v>
      </c>
      <c r="P167" s="115">
        <f t="shared" si="25"/>
        <v>159.11</v>
      </c>
      <c r="Q167" s="115">
        <f t="shared" si="25"/>
        <v>98.56</v>
      </c>
      <c r="R167" s="115">
        <f t="shared" si="25"/>
        <v>229.99</v>
      </c>
      <c r="S167" s="115">
        <f t="shared" si="25"/>
        <v>6.26</v>
      </c>
    </row>
    <row r="168" spans="1:19" s="112" customFormat="1" ht="12.75">
      <c r="A168" s="157" t="s">
        <v>41</v>
      </c>
      <c r="B168" s="157"/>
      <c r="C168" s="157"/>
      <c r="D168" s="157"/>
      <c r="E168" s="116"/>
      <c r="F168" s="117"/>
      <c r="G168" s="117"/>
      <c r="H168" s="118">
        <f>SUM(H158+H175)</f>
        <v>37.62924242424242</v>
      </c>
      <c r="I168" s="118">
        <f aca="true" t="shared" si="26" ref="I168:S168">SUM(I158+I175)</f>
        <v>42.669999999999995</v>
      </c>
      <c r="J168" s="118">
        <f t="shared" si="26"/>
        <v>146.6030303030303</v>
      </c>
      <c r="K168" s="118">
        <f t="shared" si="26"/>
        <v>1100.6818181818182</v>
      </c>
      <c r="L168" s="118">
        <f t="shared" si="26"/>
        <v>0.2218181818181818</v>
      </c>
      <c r="M168" s="118">
        <f t="shared" si="26"/>
        <v>0.46878787878787875</v>
      </c>
      <c r="N168" s="118">
        <f t="shared" si="26"/>
        <v>4.009090909090909</v>
      </c>
      <c r="O168" s="118">
        <f t="shared" si="26"/>
        <v>2.0572727272727276</v>
      </c>
      <c r="P168" s="118">
        <f t="shared" si="26"/>
        <v>496.31212121212127</v>
      </c>
      <c r="Q168" s="118">
        <f t="shared" si="26"/>
        <v>115.23454545454544</v>
      </c>
      <c r="R168" s="118">
        <f t="shared" si="26"/>
        <v>467.25454545454545</v>
      </c>
      <c r="S168" s="118">
        <f t="shared" si="26"/>
        <v>4.630303030303031</v>
      </c>
    </row>
    <row r="169" spans="1:19" s="56" customFormat="1" ht="12.75">
      <c r="A169" s="152" t="s">
        <v>107</v>
      </c>
      <c r="B169" s="152"/>
      <c r="C169" s="152"/>
      <c r="D169" s="152"/>
      <c r="E169" s="92"/>
      <c r="F169" s="93"/>
      <c r="G169" s="93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1:19" s="56" customFormat="1" ht="12.75">
      <c r="A170" s="153" t="s">
        <v>19</v>
      </c>
      <c r="B170" s="153"/>
      <c r="C170" s="153"/>
      <c r="D170" s="153"/>
      <c r="E170" s="95"/>
      <c r="F170" s="96"/>
      <c r="G170" s="93" t="s">
        <v>20</v>
      </c>
      <c r="H170" s="94" t="s">
        <v>20</v>
      </c>
      <c r="I170" s="94"/>
      <c r="J170" s="94" t="s">
        <v>20</v>
      </c>
      <c r="K170" s="94" t="s">
        <v>20</v>
      </c>
      <c r="L170" s="97"/>
      <c r="M170" s="97"/>
      <c r="N170" s="97"/>
      <c r="O170" s="97"/>
      <c r="P170" s="97"/>
      <c r="Q170" s="97"/>
      <c r="R170" s="97"/>
      <c r="S170" s="97"/>
    </row>
    <row r="171" spans="1:19" s="56" customFormat="1" ht="12.75">
      <c r="A171" s="146" t="s">
        <v>43</v>
      </c>
      <c r="B171" s="146"/>
      <c r="C171" s="146"/>
      <c r="D171" s="146"/>
      <c r="E171" s="98"/>
      <c r="F171" s="99" t="s">
        <v>22</v>
      </c>
      <c r="G171" s="100">
        <v>15</v>
      </c>
      <c r="H171" s="101">
        <v>3.45</v>
      </c>
      <c r="I171" s="101">
        <v>4.35</v>
      </c>
      <c r="J171" s="101">
        <v>0</v>
      </c>
      <c r="K171" s="101">
        <v>54</v>
      </c>
      <c r="L171" s="101">
        <v>0.06</v>
      </c>
      <c r="M171" s="101">
        <v>0.01</v>
      </c>
      <c r="N171" s="101">
        <v>0.24</v>
      </c>
      <c r="O171" s="101">
        <v>0.08</v>
      </c>
      <c r="P171" s="101">
        <v>150</v>
      </c>
      <c r="Q171" s="101">
        <v>7.5</v>
      </c>
      <c r="R171" s="101">
        <v>81</v>
      </c>
      <c r="S171" s="101">
        <v>0.16</v>
      </c>
    </row>
    <row r="172" spans="1:19" s="56" customFormat="1" ht="12.75">
      <c r="A172" s="146" t="s">
        <v>81</v>
      </c>
      <c r="B172" s="146"/>
      <c r="C172" s="146"/>
      <c r="D172" s="146"/>
      <c r="E172" s="102"/>
      <c r="F172" s="100" t="s">
        <v>25</v>
      </c>
      <c r="G172" s="100" t="s">
        <v>26</v>
      </c>
      <c r="H172" s="101">
        <f>21.55*200/220</f>
        <v>19.59090909090909</v>
      </c>
      <c r="I172" s="101">
        <f>15.84*200/220</f>
        <v>14.4</v>
      </c>
      <c r="J172" s="101">
        <f>28.86*200/220</f>
        <v>26.236363636363638</v>
      </c>
      <c r="K172" s="101">
        <f>317*200/220</f>
        <v>288.1818181818182</v>
      </c>
      <c r="L172" s="101">
        <f>0.09*200/220</f>
        <v>0.08181818181818182</v>
      </c>
      <c r="M172" s="101">
        <f>0.27*200/220</f>
        <v>0.24545454545454545</v>
      </c>
      <c r="N172" s="101">
        <f>1.44*200/220</f>
        <v>1.309090909090909</v>
      </c>
      <c r="O172" s="101">
        <f>0.14*200/220</f>
        <v>0.1272727272727273</v>
      </c>
      <c r="P172" s="101">
        <f>201.68*200/220</f>
        <v>183.34545454545454</v>
      </c>
      <c r="Q172" s="101">
        <f>61.44*200/220</f>
        <v>55.85454545454545</v>
      </c>
      <c r="R172" s="101">
        <f>181.01*200/220</f>
        <v>164.55454545454546</v>
      </c>
      <c r="S172" s="101">
        <f>1.61*200/220</f>
        <v>1.4636363636363636</v>
      </c>
    </row>
    <row r="173" spans="1:19" s="56" customFormat="1" ht="12.75">
      <c r="A173" s="146" t="s">
        <v>38</v>
      </c>
      <c r="B173" s="146"/>
      <c r="C173" s="146"/>
      <c r="D173" s="146"/>
      <c r="E173" s="102"/>
      <c r="F173" s="100" t="s">
        <v>39</v>
      </c>
      <c r="G173" s="100">
        <v>200</v>
      </c>
      <c r="H173" s="101">
        <v>0.34</v>
      </c>
      <c r="I173" s="101">
        <v>0.02</v>
      </c>
      <c r="J173" s="101">
        <v>24.53</v>
      </c>
      <c r="K173" s="101">
        <v>95</v>
      </c>
      <c r="L173" s="101">
        <v>0</v>
      </c>
      <c r="M173" s="101">
        <v>0</v>
      </c>
      <c r="N173" s="101">
        <v>1.04</v>
      </c>
      <c r="O173" s="101">
        <v>0.05</v>
      </c>
      <c r="P173" s="101">
        <v>6.13</v>
      </c>
      <c r="Q173" s="101">
        <v>3.98</v>
      </c>
      <c r="R173" s="101">
        <v>7.21</v>
      </c>
      <c r="S173" s="101">
        <v>0.58</v>
      </c>
    </row>
    <row r="174" spans="1:19" s="56" customFormat="1" ht="12.75">
      <c r="A174" s="147" t="s">
        <v>29</v>
      </c>
      <c r="B174" s="147"/>
      <c r="C174" s="147"/>
      <c r="D174" s="147"/>
      <c r="E174" s="102"/>
      <c r="F174" s="100"/>
      <c r="G174" s="100">
        <v>50</v>
      </c>
      <c r="H174" s="101">
        <v>3.8</v>
      </c>
      <c r="I174" s="101">
        <v>0.4</v>
      </c>
      <c r="J174" s="101">
        <v>24.3</v>
      </c>
      <c r="K174" s="101">
        <v>119</v>
      </c>
      <c r="L174" s="101">
        <v>0</v>
      </c>
      <c r="M174" s="101">
        <v>0.06</v>
      </c>
      <c r="N174" s="101">
        <v>0</v>
      </c>
      <c r="O174" s="101">
        <v>0.55</v>
      </c>
      <c r="P174" s="101">
        <v>10</v>
      </c>
      <c r="Q174" s="101">
        <v>7</v>
      </c>
      <c r="R174" s="101">
        <v>32.5</v>
      </c>
      <c r="S174" s="101">
        <v>0.55</v>
      </c>
    </row>
    <row r="175" spans="1:19" s="56" customFormat="1" ht="12.75">
      <c r="A175" s="148" t="s">
        <v>30</v>
      </c>
      <c r="B175" s="148"/>
      <c r="C175" s="148"/>
      <c r="D175" s="148"/>
      <c r="E175" s="103"/>
      <c r="F175" s="104"/>
      <c r="G175" s="104" t="s">
        <v>20</v>
      </c>
      <c r="H175" s="105">
        <f>H171+H172+H173+H174</f>
        <v>27.18090909090909</v>
      </c>
      <c r="I175" s="105">
        <f aca="true" t="shared" si="27" ref="I175:S175">SUM(I171:I174)</f>
        <v>19.169999999999998</v>
      </c>
      <c r="J175" s="105">
        <f t="shared" si="27"/>
        <v>75.06636363636363</v>
      </c>
      <c r="K175" s="105">
        <f t="shared" si="27"/>
        <v>556.1818181818182</v>
      </c>
      <c r="L175" s="105">
        <f t="shared" si="27"/>
        <v>0.14181818181818182</v>
      </c>
      <c r="M175" s="105">
        <f t="shared" si="27"/>
        <v>0.31545454545454543</v>
      </c>
      <c r="N175" s="105">
        <f t="shared" si="27"/>
        <v>2.589090909090909</v>
      </c>
      <c r="O175" s="105">
        <f t="shared" si="27"/>
        <v>0.8072727272727274</v>
      </c>
      <c r="P175" s="105">
        <f t="shared" si="27"/>
        <v>349.47545454545457</v>
      </c>
      <c r="Q175" s="105">
        <f t="shared" si="27"/>
        <v>74.33454545454545</v>
      </c>
      <c r="R175" s="105">
        <f t="shared" si="27"/>
        <v>285.26454545454544</v>
      </c>
      <c r="S175" s="105">
        <f t="shared" si="27"/>
        <v>2.753636363636364</v>
      </c>
    </row>
    <row r="176" spans="1:19" s="56" customFormat="1" ht="12.75">
      <c r="A176" s="153" t="s">
        <v>31</v>
      </c>
      <c r="B176" s="153"/>
      <c r="C176" s="153"/>
      <c r="D176" s="153"/>
      <c r="E176" s="95"/>
      <c r="F176" s="96"/>
      <c r="G176" s="93" t="s">
        <v>20</v>
      </c>
      <c r="H176" s="94" t="s">
        <v>20</v>
      </c>
      <c r="I176" s="94"/>
      <c r="J176" s="94" t="s">
        <v>20</v>
      </c>
      <c r="K176" s="94" t="s">
        <v>20</v>
      </c>
      <c r="L176" s="97"/>
      <c r="M176" s="97"/>
      <c r="N176" s="97"/>
      <c r="O176" s="97"/>
      <c r="P176" s="97"/>
      <c r="Q176" s="97"/>
      <c r="R176" s="97"/>
      <c r="S176" s="97"/>
    </row>
    <row r="177" spans="1:19" s="56" customFormat="1" ht="12.75">
      <c r="A177" s="151" t="s">
        <v>1</v>
      </c>
      <c r="B177" s="151"/>
      <c r="C177" s="151"/>
      <c r="D177" s="151"/>
      <c r="E177" s="88"/>
      <c r="F177" s="145" t="s">
        <v>2</v>
      </c>
      <c r="G177" s="145" t="s">
        <v>3</v>
      </c>
      <c r="H177" s="144" t="s">
        <v>4</v>
      </c>
      <c r="I177" s="144"/>
      <c r="J177" s="144"/>
      <c r="K177" s="144"/>
      <c r="L177" s="144" t="s">
        <v>5</v>
      </c>
      <c r="M177" s="144"/>
      <c r="N177" s="144"/>
      <c r="O177" s="144"/>
      <c r="P177" s="144"/>
      <c r="Q177" s="144"/>
      <c r="R177" s="144"/>
      <c r="S177" s="144"/>
    </row>
    <row r="178" spans="1:19" s="56" customFormat="1" ht="25.5">
      <c r="A178" s="151"/>
      <c r="B178" s="151"/>
      <c r="C178" s="151"/>
      <c r="D178" s="151"/>
      <c r="E178" s="87"/>
      <c r="F178" s="145"/>
      <c r="G178" s="145"/>
      <c r="H178" s="90" t="s">
        <v>6</v>
      </c>
      <c r="I178" s="90" t="s">
        <v>7</v>
      </c>
      <c r="J178" s="90" t="s">
        <v>8</v>
      </c>
      <c r="K178" s="91" t="s">
        <v>9</v>
      </c>
      <c r="L178" s="89" t="s">
        <v>10</v>
      </c>
      <c r="M178" s="89" t="s">
        <v>11</v>
      </c>
      <c r="N178" s="89" t="s">
        <v>12</v>
      </c>
      <c r="O178" s="89" t="s">
        <v>13</v>
      </c>
      <c r="P178" s="89" t="s">
        <v>14</v>
      </c>
      <c r="Q178" s="89" t="s">
        <v>15</v>
      </c>
      <c r="R178" s="89" t="s">
        <v>16</v>
      </c>
      <c r="S178" s="89" t="s">
        <v>17</v>
      </c>
    </row>
    <row r="179" spans="1:19" s="56" customFormat="1" ht="12.75">
      <c r="A179" s="146" t="s">
        <v>127</v>
      </c>
      <c r="B179" s="146"/>
      <c r="C179" s="146"/>
      <c r="D179" s="146"/>
      <c r="E179" s="102"/>
      <c r="F179" s="100" t="s">
        <v>128</v>
      </c>
      <c r="G179" s="100">
        <v>100</v>
      </c>
      <c r="H179" s="101">
        <v>1.09</v>
      </c>
      <c r="I179" s="101">
        <v>6.04</v>
      </c>
      <c r="J179" s="101">
        <v>3.78</v>
      </c>
      <c r="K179" s="101">
        <v>74</v>
      </c>
      <c r="L179" s="101">
        <v>0.05</v>
      </c>
      <c r="M179" s="101">
        <v>0.2</v>
      </c>
      <c r="N179" s="101">
        <v>9.1</v>
      </c>
      <c r="O179" s="101">
        <v>4.5</v>
      </c>
      <c r="P179" s="101">
        <v>21.73</v>
      </c>
      <c r="Q179" s="101">
        <v>12.74</v>
      </c>
      <c r="R179" s="101">
        <v>39.82</v>
      </c>
      <c r="S179" s="101">
        <v>0.5700000000000001</v>
      </c>
    </row>
    <row r="180" spans="1:19" s="56" customFormat="1" ht="12.75">
      <c r="A180" s="146" t="s">
        <v>138</v>
      </c>
      <c r="B180" s="146"/>
      <c r="C180" s="146"/>
      <c r="D180" s="146"/>
      <c r="E180" s="102"/>
      <c r="F180" s="100" t="s">
        <v>95</v>
      </c>
      <c r="G180" s="100" t="s">
        <v>49</v>
      </c>
      <c r="H180" s="101">
        <v>2.99</v>
      </c>
      <c r="I180" s="101">
        <v>4.97</v>
      </c>
      <c r="J180" s="101">
        <v>11.52</v>
      </c>
      <c r="K180" s="101">
        <v>121</v>
      </c>
      <c r="L180" s="101">
        <v>0.01</v>
      </c>
      <c r="M180" s="101">
        <v>0.05</v>
      </c>
      <c r="N180" s="101">
        <v>10</v>
      </c>
      <c r="O180" s="101">
        <v>0.4</v>
      </c>
      <c r="P180" s="101">
        <v>23.5</v>
      </c>
      <c r="Q180" s="101">
        <v>20.75</v>
      </c>
      <c r="R180" s="101">
        <v>50.1</v>
      </c>
      <c r="S180" s="101">
        <v>0.65</v>
      </c>
    </row>
    <row r="181" spans="1:19" s="56" customFormat="1" ht="12.75">
      <c r="A181" s="146" t="s">
        <v>100</v>
      </c>
      <c r="B181" s="146"/>
      <c r="C181" s="146"/>
      <c r="D181" s="146"/>
      <c r="E181" s="102"/>
      <c r="F181" s="100" t="s">
        <v>101</v>
      </c>
      <c r="G181" s="100" t="s">
        <v>130</v>
      </c>
      <c r="H181" s="101">
        <v>10.09</v>
      </c>
      <c r="I181" s="101">
        <v>9.3</v>
      </c>
      <c r="J181" s="101">
        <v>13.35</v>
      </c>
      <c r="K181" s="101">
        <v>191</v>
      </c>
      <c r="L181" s="101">
        <v>0</v>
      </c>
      <c r="M181" s="101">
        <v>0.07</v>
      </c>
      <c r="N181" s="101">
        <v>1.32</v>
      </c>
      <c r="O181" s="101">
        <v>3.61</v>
      </c>
      <c r="P181" s="101">
        <v>51.95</v>
      </c>
      <c r="Q181" s="101">
        <v>21.91</v>
      </c>
      <c r="R181" s="101">
        <v>144.42</v>
      </c>
      <c r="S181" s="101">
        <v>1.32</v>
      </c>
    </row>
    <row r="182" spans="1:19" s="56" customFormat="1" ht="12.75">
      <c r="A182" s="146" t="s">
        <v>52</v>
      </c>
      <c r="B182" s="146"/>
      <c r="C182" s="146"/>
      <c r="D182" s="146"/>
      <c r="E182" s="102"/>
      <c r="F182" s="100" t="s">
        <v>53</v>
      </c>
      <c r="G182" s="100">
        <v>180</v>
      </c>
      <c r="H182" s="101">
        <v>10.51</v>
      </c>
      <c r="I182" s="101">
        <v>7.94</v>
      </c>
      <c r="J182" s="101">
        <v>51.7</v>
      </c>
      <c r="K182" s="101">
        <v>325</v>
      </c>
      <c r="L182" s="101">
        <v>0.06</v>
      </c>
      <c r="M182" s="101">
        <v>0.1</v>
      </c>
      <c r="N182" s="101">
        <v>0</v>
      </c>
      <c r="O182" s="101">
        <v>0.67</v>
      </c>
      <c r="P182" s="101">
        <v>17.39</v>
      </c>
      <c r="Q182" s="101">
        <v>166.34</v>
      </c>
      <c r="R182" s="101">
        <v>249.01</v>
      </c>
      <c r="S182" s="101">
        <v>5.58</v>
      </c>
    </row>
    <row r="183" spans="1:19" s="56" customFormat="1" ht="12.75">
      <c r="A183" s="146" t="s">
        <v>54</v>
      </c>
      <c r="B183" s="146"/>
      <c r="C183" s="146"/>
      <c r="D183" s="146"/>
      <c r="E183" s="102"/>
      <c r="F183" s="100" t="s">
        <v>55</v>
      </c>
      <c r="G183" s="100">
        <v>200</v>
      </c>
      <c r="H183" s="101">
        <v>0.44</v>
      </c>
      <c r="I183" s="101">
        <v>0</v>
      </c>
      <c r="J183" s="101">
        <v>28.88</v>
      </c>
      <c r="K183" s="101">
        <v>116</v>
      </c>
      <c r="L183" s="101">
        <v>0</v>
      </c>
      <c r="M183" s="101">
        <v>0</v>
      </c>
      <c r="N183" s="101">
        <v>0.4</v>
      </c>
      <c r="O183" s="101">
        <v>0</v>
      </c>
      <c r="P183" s="101">
        <v>44.8</v>
      </c>
      <c r="Q183" s="101">
        <v>6</v>
      </c>
      <c r="R183" s="101">
        <v>15.4</v>
      </c>
      <c r="S183" s="101">
        <v>1.26</v>
      </c>
    </row>
    <row r="184" spans="1:19" s="56" customFormat="1" ht="12.75">
      <c r="A184" s="147" t="s">
        <v>40</v>
      </c>
      <c r="B184" s="147"/>
      <c r="C184" s="147"/>
      <c r="D184" s="147"/>
      <c r="E184" s="102"/>
      <c r="F184" s="100"/>
      <c r="G184" s="100">
        <v>60</v>
      </c>
      <c r="H184" s="101">
        <v>2.82</v>
      </c>
      <c r="I184" s="101">
        <v>0.6</v>
      </c>
      <c r="J184" s="101">
        <v>0.6</v>
      </c>
      <c r="K184" s="101">
        <v>126</v>
      </c>
      <c r="L184" s="101">
        <v>0</v>
      </c>
      <c r="M184" s="101">
        <v>0.08</v>
      </c>
      <c r="N184" s="101">
        <v>0</v>
      </c>
      <c r="O184" s="101">
        <v>0.78</v>
      </c>
      <c r="P184" s="101">
        <v>14.4</v>
      </c>
      <c r="Q184" s="101">
        <v>11.4</v>
      </c>
      <c r="R184" s="101">
        <v>52.2</v>
      </c>
      <c r="S184" s="101">
        <v>2.24</v>
      </c>
    </row>
    <row r="185" spans="1:19" s="56" customFormat="1" ht="12.75">
      <c r="A185" s="154" t="s">
        <v>30</v>
      </c>
      <c r="B185" s="154"/>
      <c r="C185" s="154"/>
      <c r="D185" s="154"/>
      <c r="E185" s="103"/>
      <c r="F185" s="104"/>
      <c r="G185" s="104"/>
      <c r="H185" s="105">
        <f aca="true" t="shared" si="28" ref="H185:S185">SUM(H179:H184)</f>
        <v>27.94</v>
      </c>
      <c r="I185" s="105">
        <f t="shared" si="28"/>
        <v>28.850000000000005</v>
      </c>
      <c r="J185" s="105">
        <f t="shared" si="28"/>
        <v>109.82999999999998</v>
      </c>
      <c r="K185" s="105">
        <f t="shared" si="28"/>
        <v>953</v>
      </c>
      <c r="L185" s="105">
        <f t="shared" si="28"/>
        <v>0.12</v>
      </c>
      <c r="M185" s="105">
        <f t="shared" si="28"/>
        <v>0.5</v>
      </c>
      <c r="N185" s="105">
        <f t="shared" si="28"/>
        <v>20.82</v>
      </c>
      <c r="O185" s="105">
        <f t="shared" si="28"/>
        <v>9.959999999999999</v>
      </c>
      <c r="P185" s="105">
        <f t="shared" si="28"/>
        <v>173.77</v>
      </c>
      <c r="Q185" s="105">
        <f t="shared" si="28"/>
        <v>239.14000000000001</v>
      </c>
      <c r="R185" s="105">
        <f t="shared" si="28"/>
        <v>550.9499999999999</v>
      </c>
      <c r="S185" s="105">
        <f t="shared" si="28"/>
        <v>11.620000000000001</v>
      </c>
    </row>
    <row r="186" spans="1:19" s="56" customFormat="1" ht="12.75">
      <c r="A186" s="155" t="s">
        <v>41</v>
      </c>
      <c r="B186" s="155"/>
      <c r="C186" s="155"/>
      <c r="D186" s="155"/>
      <c r="E186" s="108"/>
      <c r="F186" s="109"/>
      <c r="G186" s="109"/>
      <c r="H186" s="110">
        <f>SUM(H175+H185)</f>
        <v>55.120909090909095</v>
      </c>
      <c r="I186" s="110">
        <f aca="true" t="shared" si="29" ref="I186:S186">SUM(I175+I185)</f>
        <v>48.02</v>
      </c>
      <c r="J186" s="110">
        <f t="shared" si="29"/>
        <v>184.89636363636362</v>
      </c>
      <c r="K186" s="110">
        <f t="shared" si="29"/>
        <v>1509.1818181818182</v>
      </c>
      <c r="L186" s="110">
        <f t="shared" si="29"/>
        <v>0.26181818181818184</v>
      </c>
      <c r="M186" s="110">
        <f t="shared" si="29"/>
        <v>0.8154545454545454</v>
      </c>
      <c r="N186" s="110">
        <f t="shared" si="29"/>
        <v>23.40909090909091</v>
      </c>
      <c r="O186" s="110">
        <f t="shared" si="29"/>
        <v>10.767272727272726</v>
      </c>
      <c r="P186" s="110">
        <f t="shared" si="29"/>
        <v>523.2454545454545</v>
      </c>
      <c r="Q186" s="110">
        <f t="shared" si="29"/>
        <v>313.4745454545455</v>
      </c>
      <c r="R186" s="110">
        <f t="shared" si="29"/>
        <v>836.2145454545454</v>
      </c>
      <c r="S186" s="110">
        <f t="shared" si="29"/>
        <v>14.373636363636365</v>
      </c>
    </row>
    <row r="187" spans="1:19" s="56" customFormat="1" ht="12.75">
      <c r="A187" s="152" t="s">
        <v>113</v>
      </c>
      <c r="B187" s="152"/>
      <c r="C187" s="152"/>
      <c r="D187" s="152"/>
      <c r="E187" s="92"/>
      <c r="F187" s="93"/>
      <c r="G187" s="93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1:19" s="56" customFormat="1" ht="12.75">
      <c r="A188" s="153" t="s">
        <v>19</v>
      </c>
      <c r="B188" s="153"/>
      <c r="C188" s="153"/>
      <c r="D188" s="153"/>
      <c r="E188" s="95"/>
      <c r="F188" s="96"/>
      <c r="G188" s="93" t="s">
        <v>20</v>
      </c>
      <c r="H188" s="94" t="s">
        <v>20</v>
      </c>
      <c r="I188" s="94"/>
      <c r="J188" s="94" t="s">
        <v>20</v>
      </c>
      <c r="K188" s="94" t="s">
        <v>20</v>
      </c>
      <c r="L188" s="97"/>
      <c r="M188" s="97"/>
      <c r="N188" s="97"/>
      <c r="O188" s="97"/>
      <c r="P188" s="97"/>
      <c r="Q188" s="97"/>
      <c r="R188" s="97"/>
      <c r="S188" s="97"/>
    </row>
    <row r="189" spans="1:19" s="56" customFormat="1" ht="12.75">
      <c r="A189" s="146" t="s">
        <v>71</v>
      </c>
      <c r="B189" s="146"/>
      <c r="C189" s="146"/>
      <c r="D189" s="146"/>
      <c r="E189" s="102"/>
      <c r="F189" s="100" t="s">
        <v>25</v>
      </c>
      <c r="G189" s="100" t="s">
        <v>26</v>
      </c>
      <c r="H189" s="101">
        <f>8.5*200/220</f>
        <v>7.7272727272727275</v>
      </c>
      <c r="I189" s="101">
        <f>10.62*200/220</f>
        <v>9.654545454545454</v>
      </c>
      <c r="J189" s="101">
        <f>33*200/220</f>
        <v>30</v>
      </c>
      <c r="K189" s="101">
        <f>273*200/220</f>
        <v>248.1818181818182</v>
      </c>
      <c r="L189" s="101">
        <f>0.08*200/220</f>
        <v>0.07272727272727272</v>
      </c>
      <c r="M189" s="101">
        <f>0.31*200/220</f>
        <v>0.2818181818181818</v>
      </c>
      <c r="N189" s="101">
        <f>1.44*200/220</f>
        <v>1.309090909090909</v>
      </c>
      <c r="O189" s="101">
        <f>0.72*200/220</f>
        <v>0.6545454545454545</v>
      </c>
      <c r="P189" s="101">
        <f>222.03*200/200</f>
        <v>222.03</v>
      </c>
      <c r="Q189" s="101">
        <f>79.59*200/220</f>
        <v>72.35454545454546</v>
      </c>
      <c r="R189" s="101">
        <f>171.48*200/220</f>
        <v>155.8909090909091</v>
      </c>
      <c r="S189" s="101">
        <f>2.27*200/220</f>
        <v>2.0636363636363635</v>
      </c>
    </row>
    <row r="190" spans="1:19" s="56" customFormat="1" ht="12.75">
      <c r="A190" s="146" t="s">
        <v>60</v>
      </c>
      <c r="B190" s="146"/>
      <c r="C190" s="146"/>
      <c r="D190" s="146"/>
      <c r="E190" s="102"/>
      <c r="F190" s="100" t="s">
        <v>61</v>
      </c>
      <c r="G190" s="100">
        <v>200</v>
      </c>
      <c r="H190" s="101">
        <v>2.5</v>
      </c>
      <c r="I190" s="101">
        <v>3.6</v>
      </c>
      <c r="J190" s="101">
        <v>28.7</v>
      </c>
      <c r="K190" s="101">
        <v>152</v>
      </c>
      <c r="L190" s="101">
        <v>0.02</v>
      </c>
      <c r="M190" s="101">
        <v>1</v>
      </c>
      <c r="N190" s="101">
        <v>0.1</v>
      </c>
      <c r="O190" s="101">
        <v>0</v>
      </c>
      <c r="P190" s="101">
        <v>61</v>
      </c>
      <c r="Q190" s="101">
        <v>45</v>
      </c>
      <c r="R190" s="101">
        <v>7</v>
      </c>
      <c r="S190" s="101">
        <v>1</v>
      </c>
    </row>
    <row r="191" spans="1:19" s="56" customFormat="1" ht="12.75">
      <c r="A191" s="147" t="s">
        <v>29</v>
      </c>
      <c r="B191" s="147"/>
      <c r="C191" s="147"/>
      <c r="D191" s="147"/>
      <c r="E191" s="102"/>
      <c r="F191" s="100"/>
      <c r="G191" s="100">
        <v>50</v>
      </c>
      <c r="H191" s="101">
        <v>3.8</v>
      </c>
      <c r="I191" s="101">
        <v>0.4</v>
      </c>
      <c r="J191" s="101">
        <v>24.3</v>
      </c>
      <c r="K191" s="101">
        <v>119</v>
      </c>
      <c r="L191" s="101">
        <v>0</v>
      </c>
      <c r="M191" s="101">
        <v>0.06</v>
      </c>
      <c r="N191" s="101">
        <v>0</v>
      </c>
      <c r="O191" s="101">
        <v>0.55</v>
      </c>
      <c r="P191" s="101">
        <v>10</v>
      </c>
      <c r="Q191" s="101">
        <v>7</v>
      </c>
      <c r="R191" s="101">
        <v>32.5</v>
      </c>
      <c r="S191" s="101">
        <v>0.55</v>
      </c>
    </row>
    <row r="192" spans="1:19" s="56" customFormat="1" ht="12.75">
      <c r="A192" s="146" t="s">
        <v>114</v>
      </c>
      <c r="B192" s="146"/>
      <c r="C192" s="146"/>
      <c r="D192" s="146"/>
      <c r="E192" s="102"/>
      <c r="F192" s="100"/>
      <c r="G192" s="100">
        <v>16</v>
      </c>
      <c r="H192" s="101">
        <v>0.4</v>
      </c>
      <c r="I192" s="101">
        <v>3.7</v>
      </c>
      <c r="J192" s="101">
        <v>9.1</v>
      </c>
      <c r="K192" s="101">
        <v>71</v>
      </c>
      <c r="L192" s="101">
        <v>0</v>
      </c>
      <c r="M192" s="101">
        <v>0.2</v>
      </c>
      <c r="N192" s="101">
        <v>0</v>
      </c>
      <c r="O192" s="101">
        <v>0</v>
      </c>
      <c r="P192" s="101">
        <v>0.1</v>
      </c>
      <c r="Q192" s="101">
        <v>0.4</v>
      </c>
      <c r="R192" s="101">
        <v>1.1</v>
      </c>
      <c r="S192" s="101">
        <v>1.2</v>
      </c>
    </row>
    <row r="193" spans="1:19" s="56" customFormat="1" ht="12.75">
      <c r="A193" s="148" t="s">
        <v>30</v>
      </c>
      <c r="B193" s="148"/>
      <c r="C193" s="148"/>
      <c r="D193" s="148"/>
      <c r="E193" s="103"/>
      <c r="F193" s="104"/>
      <c r="G193" s="104" t="s">
        <v>20</v>
      </c>
      <c r="H193" s="105">
        <f>H189+H190+H191+H192</f>
        <v>14.427272727272728</v>
      </c>
      <c r="I193" s="105">
        <f aca="true" t="shared" si="30" ref="I193:S193">SUM(I189:I192)</f>
        <v>17.354545454545455</v>
      </c>
      <c r="J193" s="105">
        <f t="shared" si="30"/>
        <v>92.1</v>
      </c>
      <c r="K193" s="105">
        <f t="shared" si="30"/>
        <v>590.1818181818182</v>
      </c>
      <c r="L193" s="105">
        <f t="shared" si="30"/>
        <v>0.09272727272727273</v>
      </c>
      <c r="M193" s="105">
        <f t="shared" si="30"/>
        <v>1.5418181818181818</v>
      </c>
      <c r="N193" s="105">
        <f t="shared" si="30"/>
        <v>1.4090909090909092</v>
      </c>
      <c r="O193" s="105">
        <f t="shared" si="30"/>
        <v>1.2045454545454546</v>
      </c>
      <c r="P193" s="105">
        <f t="shared" si="30"/>
        <v>293.13</v>
      </c>
      <c r="Q193" s="105">
        <f t="shared" si="30"/>
        <v>124.75454545454546</v>
      </c>
      <c r="R193" s="105">
        <f t="shared" si="30"/>
        <v>196.4909090909091</v>
      </c>
      <c r="S193" s="105">
        <f t="shared" si="30"/>
        <v>4.8136363636363635</v>
      </c>
    </row>
    <row r="194" spans="1:19" s="56" customFormat="1" ht="12.75">
      <c r="A194" s="149" t="s">
        <v>31</v>
      </c>
      <c r="B194" s="149"/>
      <c r="C194" s="149"/>
      <c r="D194" s="149"/>
      <c r="E194" s="92"/>
      <c r="F194" s="93"/>
      <c r="G194" s="93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1:19" s="56" customFormat="1" ht="12.75">
      <c r="A195" s="146" t="s">
        <v>82</v>
      </c>
      <c r="B195" s="146"/>
      <c r="C195" s="146"/>
      <c r="D195" s="146"/>
      <c r="E195" s="102"/>
      <c r="F195" s="100" t="s">
        <v>126</v>
      </c>
      <c r="G195" s="100">
        <v>100</v>
      </c>
      <c r="H195" s="101">
        <v>1.27</v>
      </c>
      <c r="I195" s="101">
        <v>15.06</v>
      </c>
      <c r="J195" s="101">
        <v>7.65</v>
      </c>
      <c r="K195" s="101">
        <v>171</v>
      </c>
      <c r="L195" s="101">
        <v>0.01</v>
      </c>
      <c r="M195" s="101">
        <v>0.05</v>
      </c>
      <c r="N195" s="101">
        <v>8.5</v>
      </c>
      <c r="O195" s="101">
        <v>6.7</v>
      </c>
      <c r="P195" s="101">
        <v>31.45</v>
      </c>
      <c r="Q195" s="101">
        <v>18.7</v>
      </c>
      <c r="R195" s="101">
        <v>36.55</v>
      </c>
      <c r="S195" s="101">
        <v>1.19</v>
      </c>
    </row>
    <row r="196" spans="1:19" s="56" customFormat="1" ht="12.75">
      <c r="A196" s="146" t="s">
        <v>83</v>
      </c>
      <c r="B196" s="146"/>
      <c r="C196" s="146"/>
      <c r="D196" s="146"/>
      <c r="E196" s="102"/>
      <c r="F196" s="100" t="s">
        <v>84</v>
      </c>
      <c r="G196" s="100" t="s">
        <v>49</v>
      </c>
      <c r="H196" s="100">
        <v>2.84</v>
      </c>
      <c r="I196" s="100">
        <v>5.37</v>
      </c>
      <c r="J196" s="100">
        <v>20.84</v>
      </c>
      <c r="K196" s="100">
        <v>146</v>
      </c>
      <c r="L196" s="100">
        <v>0.07</v>
      </c>
      <c r="M196" s="100">
        <v>0.12</v>
      </c>
      <c r="N196" s="100" t="s">
        <v>85</v>
      </c>
      <c r="O196" s="100">
        <v>0.29</v>
      </c>
      <c r="P196" s="100">
        <v>23.28</v>
      </c>
      <c r="Q196" s="100">
        <v>24.51</v>
      </c>
      <c r="R196" s="100" t="s">
        <v>86</v>
      </c>
      <c r="S196" s="100">
        <v>1.05</v>
      </c>
    </row>
    <row r="197" spans="1:19" s="56" customFormat="1" ht="12.75">
      <c r="A197" s="146" t="s">
        <v>76</v>
      </c>
      <c r="B197" s="146"/>
      <c r="C197" s="146"/>
      <c r="D197" s="146"/>
      <c r="E197" s="102"/>
      <c r="F197" s="100" t="s">
        <v>77</v>
      </c>
      <c r="G197" s="100">
        <v>200</v>
      </c>
      <c r="H197" s="100">
        <v>26.96</v>
      </c>
      <c r="I197" s="100">
        <v>8.96</v>
      </c>
      <c r="J197" s="100">
        <v>37.35</v>
      </c>
      <c r="K197" s="100">
        <v>340.48</v>
      </c>
      <c r="L197" s="100">
        <v>0.21</v>
      </c>
      <c r="M197" s="100">
        <v>0.12</v>
      </c>
      <c r="N197" s="100">
        <v>6.38</v>
      </c>
      <c r="O197" s="100">
        <v>1.8</v>
      </c>
      <c r="P197" s="100">
        <v>34.47</v>
      </c>
      <c r="Q197" s="100">
        <v>60.25</v>
      </c>
      <c r="R197" s="100">
        <v>258.1</v>
      </c>
      <c r="S197" s="100">
        <v>2.34</v>
      </c>
    </row>
    <row r="198" spans="1:19" s="56" customFormat="1" ht="12.75">
      <c r="A198" s="146" t="s">
        <v>78</v>
      </c>
      <c r="B198" s="146"/>
      <c r="C198" s="146"/>
      <c r="D198" s="146"/>
      <c r="E198" s="102"/>
      <c r="F198" s="100" t="s">
        <v>79</v>
      </c>
      <c r="G198" s="100">
        <v>200</v>
      </c>
      <c r="H198" s="101">
        <v>0.16</v>
      </c>
      <c r="I198" s="101">
        <v>0.16</v>
      </c>
      <c r="J198" s="101">
        <v>27.87</v>
      </c>
      <c r="K198" s="101">
        <v>109</v>
      </c>
      <c r="L198" s="101">
        <v>0.01</v>
      </c>
      <c r="M198" s="101">
        <v>0.01</v>
      </c>
      <c r="N198" s="101">
        <v>6.6</v>
      </c>
      <c r="O198" s="101">
        <v>0.08</v>
      </c>
      <c r="P198" s="101">
        <v>6.88</v>
      </c>
      <c r="Q198" s="101">
        <v>3.6</v>
      </c>
      <c r="R198" s="101">
        <v>4.4</v>
      </c>
      <c r="S198" s="101">
        <v>0.95</v>
      </c>
    </row>
    <row r="199" spans="1:19" s="56" customFormat="1" ht="12.75">
      <c r="A199" s="147" t="s">
        <v>40</v>
      </c>
      <c r="B199" s="147"/>
      <c r="C199" s="147"/>
      <c r="D199" s="147"/>
      <c r="E199" s="102"/>
      <c r="F199" s="100"/>
      <c r="G199" s="100">
        <v>60</v>
      </c>
      <c r="H199" s="101">
        <v>2.82</v>
      </c>
      <c r="I199" s="101">
        <v>0.6</v>
      </c>
      <c r="J199" s="101">
        <v>0.6</v>
      </c>
      <c r="K199" s="101">
        <v>126</v>
      </c>
      <c r="L199" s="101">
        <v>0</v>
      </c>
      <c r="M199" s="101">
        <v>0.04</v>
      </c>
      <c r="N199" s="101">
        <v>0</v>
      </c>
      <c r="O199" s="101">
        <v>0.78</v>
      </c>
      <c r="P199" s="101">
        <v>14.4</v>
      </c>
      <c r="Q199" s="101">
        <v>11.4</v>
      </c>
      <c r="R199" s="101">
        <v>52.2</v>
      </c>
      <c r="S199" s="101">
        <v>2.24</v>
      </c>
    </row>
    <row r="200" spans="1:19" s="56" customFormat="1" ht="12.75">
      <c r="A200" s="154" t="s">
        <v>30</v>
      </c>
      <c r="B200" s="154"/>
      <c r="C200" s="154"/>
      <c r="D200" s="154"/>
      <c r="E200" s="103"/>
      <c r="F200" s="104"/>
      <c r="G200" s="104"/>
      <c r="H200" s="105">
        <f aca="true" t="shared" si="31" ref="H200:S200">SUM(H195:H199)</f>
        <v>34.05</v>
      </c>
      <c r="I200" s="105">
        <f t="shared" si="31"/>
        <v>30.150000000000002</v>
      </c>
      <c r="J200" s="105">
        <f t="shared" si="31"/>
        <v>94.31</v>
      </c>
      <c r="K200" s="105">
        <f t="shared" si="31"/>
        <v>892.48</v>
      </c>
      <c r="L200" s="105">
        <f t="shared" si="31"/>
        <v>0.3</v>
      </c>
      <c r="M200" s="105">
        <f t="shared" si="31"/>
        <v>0.33999999999999997</v>
      </c>
      <c r="N200" s="105">
        <f t="shared" si="31"/>
        <v>21.479999999999997</v>
      </c>
      <c r="O200" s="105">
        <f t="shared" si="31"/>
        <v>9.65</v>
      </c>
      <c r="P200" s="105">
        <f t="shared" si="31"/>
        <v>110.48</v>
      </c>
      <c r="Q200" s="105">
        <f t="shared" si="31"/>
        <v>118.46000000000001</v>
      </c>
      <c r="R200" s="105">
        <f t="shared" si="31"/>
        <v>351.25</v>
      </c>
      <c r="S200" s="105">
        <f t="shared" si="31"/>
        <v>7.7700000000000005</v>
      </c>
    </row>
    <row r="201" spans="1:19" s="56" customFormat="1" ht="12.75">
      <c r="A201" s="155" t="s">
        <v>41</v>
      </c>
      <c r="B201" s="155"/>
      <c r="C201" s="155"/>
      <c r="D201" s="155"/>
      <c r="E201" s="108"/>
      <c r="F201" s="109"/>
      <c r="G201" s="109"/>
      <c r="H201" s="110">
        <f>SUM(H193+H200)</f>
        <v>48.47727272727273</v>
      </c>
      <c r="I201" s="110">
        <f aca="true" t="shared" si="32" ref="I201:S201">SUM(I193+I200)</f>
        <v>47.50454545454546</v>
      </c>
      <c r="J201" s="110">
        <f t="shared" si="32"/>
        <v>186.41</v>
      </c>
      <c r="K201" s="110">
        <f t="shared" si="32"/>
        <v>1482.6618181818183</v>
      </c>
      <c r="L201" s="110">
        <f t="shared" si="32"/>
        <v>0.3927272727272727</v>
      </c>
      <c r="M201" s="110">
        <f t="shared" si="32"/>
        <v>1.8818181818181818</v>
      </c>
      <c r="N201" s="110">
        <f t="shared" si="32"/>
        <v>22.889090909090907</v>
      </c>
      <c r="O201" s="110">
        <f t="shared" si="32"/>
        <v>10.854545454545455</v>
      </c>
      <c r="P201" s="110">
        <f t="shared" si="32"/>
        <v>403.61</v>
      </c>
      <c r="Q201" s="110">
        <f t="shared" si="32"/>
        <v>243.2145454545455</v>
      </c>
      <c r="R201" s="110">
        <f t="shared" si="32"/>
        <v>547.7409090909091</v>
      </c>
      <c r="S201" s="110">
        <f t="shared" si="32"/>
        <v>12.583636363636364</v>
      </c>
    </row>
    <row r="202" spans="1:19" s="56" customFormat="1" ht="12.75">
      <c r="A202" s="152" t="s">
        <v>118</v>
      </c>
      <c r="B202" s="152"/>
      <c r="C202" s="152"/>
      <c r="D202" s="152"/>
      <c r="E202" s="92"/>
      <c r="F202" s="93"/>
      <c r="G202" s="93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1:19" s="56" customFormat="1" ht="12.75">
      <c r="A203" s="153" t="s">
        <v>19</v>
      </c>
      <c r="B203" s="153"/>
      <c r="C203" s="153"/>
      <c r="D203" s="153"/>
      <c r="E203" s="95"/>
      <c r="F203" s="96"/>
      <c r="G203" s="93" t="s">
        <v>20</v>
      </c>
      <c r="H203" s="94" t="s">
        <v>20</v>
      </c>
      <c r="I203" s="94"/>
      <c r="J203" s="94" t="s">
        <v>20</v>
      </c>
      <c r="K203" s="94" t="s">
        <v>20</v>
      </c>
      <c r="L203" s="97"/>
      <c r="M203" s="97"/>
      <c r="N203" s="97"/>
      <c r="O203" s="97"/>
      <c r="P203" s="97"/>
      <c r="Q203" s="97"/>
      <c r="R203" s="97"/>
      <c r="S203" s="97"/>
    </row>
    <row r="204" spans="1:19" s="56" customFormat="1" ht="12.75">
      <c r="A204" s="146" t="s">
        <v>21</v>
      </c>
      <c r="B204" s="146"/>
      <c r="C204" s="146"/>
      <c r="D204" s="146"/>
      <c r="E204" s="98"/>
      <c r="F204" s="99" t="s">
        <v>22</v>
      </c>
      <c r="G204" s="100">
        <v>15</v>
      </c>
      <c r="H204" s="101">
        <v>0.075</v>
      </c>
      <c r="I204" s="101">
        <v>12.37</v>
      </c>
      <c r="J204" s="101">
        <v>0.08</v>
      </c>
      <c r="K204" s="101">
        <v>112.5</v>
      </c>
      <c r="L204" s="101" t="s">
        <v>23</v>
      </c>
      <c r="M204" s="101">
        <v>0</v>
      </c>
      <c r="N204" s="101">
        <v>0</v>
      </c>
      <c r="O204" s="101">
        <v>0</v>
      </c>
      <c r="P204" s="101">
        <v>1.8</v>
      </c>
      <c r="Q204" s="101">
        <v>0.06</v>
      </c>
      <c r="R204" s="101">
        <v>2.85</v>
      </c>
      <c r="S204" s="101">
        <v>0.03</v>
      </c>
    </row>
    <row r="205" spans="1:19" s="56" customFormat="1" ht="12.75">
      <c r="A205" s="146" t="s">
        <v>119</v>
      </c>
      <c r="B205" s="146"/>
      <c r="C205" s="146"/>
      <c r="D205" s="146"/>
      <c r="E205" s="102"/>
      <c r="F205" s="100" t="s">
        <v>25</v>
      </c>
      <c r="G205" s="100" t="s">
        <v>26</v>
      </c>
      <c r="H205" s="101">
        <f>21.58*200/220</f>
        <v>19.618181818181817</v>
      </c>
      <c r="I205" s="101">
        <f>24.68*200/220</f>
        <v>22.436363636363637</v>
      </c>
      <c r="J205" s="101">
        <f>24.91*200/220</f>
        <v>22.645454545454545</v>
      </c>
      <c r="K205" s="101">
        <f>289*200/220</f>
        <v>262.72727272727275</v>
      </c>
      <c r="L205" s="101">
        <f>0.08*200/220</f>
        <v>0.07272727272727272</v>
      </c>
      <c r="M205" s="101">
        <f>0.12*200/220</f>
        <v>0.10909090909090909</v>
      </c>
      <c r="N205" s="101">
        <f>1.51*200/220</f>
        <v>1.3727272727272728</v>
      </c>
      <c r="O205" s="101">
        <f>0.52*200/220</f>
        <v>0.4727272727272727</v>
      </c>
      <c r="P205" s="101">
        <f>212.59*200/220</f>
        <v>193.26363636363635</v>
      </c>
      <c r="Q205" s="101">
        <f>25.31*200/220</f>
        <v>23.009090909090908</v>
      </c>
      <c r="R205" s="101">
        <f>84.48*200/220</f>
        <v>76.8</v>
      </c>
      <c r="S205" s="101">
        <f>0.62*200/220</f>
        <v>0.5636363636363636</v>
      </c>
    </row>
    <row r="206" spans="1:19" s="56" customFormat="1" ht="12.75">
      <c r="A206" s="146" t="s">
        <v>91</v>
      </c>
      <c r="B206" s="146"/>
      <c r="C206" s="146"/>
      <c r="D206" s="146"/>
      <c r="E206" s="102"/>
      <c r="F206" s="100" t="s">
        <v>92</v>
      </c>
      <c r="G206" s="100">
        <v>200</v>
      </c>
      <c r="H206" s="101">
        <v>4.5</v>
      </c>
      <c r="I206" s="101">
        <v>24.5</v>
      </c>
      <c r="J206" s="101">
        <v>132.82</v>
      </c>
      <c r="K206" s="101">
        <v>190</v>
      </c>
      <c r="L206" s="101">
        <v>0</v>
      </c>
      <c r="M206" s="101">
        <v>0.141</v>
      </c>
      <c r="N206" s="101">
        <v>1.16</v>
      </c>
      <c r="O206" s="101">
        <v>0</v>
      </c>
      <c r="P206" s="101">
        <v>113.1</v>
      </c>
      <c r="Q206" s="101">
        <v>0</v>
      </c>
      <c r="R206" s="101">
        <v>0</v>
      </c>
      <c r="S206" s="101">
        <v>0.93</v>
      </c>
    </row>
    <row r="207" spans="1:19" s="56" customFormat="1" ht="12.75">
      <c r="A207" s="147" t="s">
        <v>29</v>
      </c>
      <c r="B207" s="147"/>
      <c r="C207" s="147"/>
      <c r="D207" s="147"/>
      <c r="E207" s="102"/>
      <c r="F207" s="100"/>
      <c r="G207" s="100">
        <v>50</v>
      </c>
      <c r="H207" s="101">
        <v>3.8</v>
      </c>
      <c r="I207" s="101">
        <v>0.4</v>
      </c>
      <c r="J207" s="101">
        <v>24.3</v>
      </c>
      <c r="K207" s="101">
        <v>119</v>
      </c>
      <c r="L207" s="101">
        <v>0</v>
      </c>
      <c r="M207" s="101">
        <v>0.06</v>
      </c>
      <c r="N207" s="101">
        <v>0</v>
      </c>
      <c r="O207" s="101">
        <v>0.55</v>
      </c>
      <c r="P207" s="101">
        <v>10</v>
      </c>
      <c r="Q207" s="101">
        <v>7</v>
      </c>
      <c r="R207" s="101">
        <v>32.5</v>
      </c>
      <c r="S207" s="101">
        <v>0.55</v>
      </c>
    </row>
    <row r="208" spans="1:19" s="56" customFormat="1" ht="12.75">
      <c r="A208" s="148" t="s">
        <v>30</v>
      </c>
      <c r="B208" s="148"/>
      <c r="C208" s="148"/>
      <c r="D208" s="148"/>
      <c r="E208" s="103"/>
      <c r="F208" s="104"/>
      <c r="G208" s="104" t="s">
        <v>20</v>
      </c>
      <c r="H208" s="105">
        <f aca="true" t="shared" si="33" ref="H208:S208">SUM(H204:H207)</f>
        <v>27.993181818181817</v>
      </c>
      <c r="I208" s="105">
        <f t="shared" si="33"/>
        <v>59.70636363636363</v>
      </c>
      <c r="J208" s="105">
        <f t="shared" si="33"/>
        <v>179.84545454545454</v>
      </c>
      <c r="K208" s="105">
        <f t="shared" si="33"/>
        <v>684.2272727272727</v>
      </c>
      <c r="L208" s="105">
        <f t="shared" si="33"/>
        <v>0.07272727272727272</v>
      </c>
      <c r="M208" s="105">
        <f t="shared" si="33"/>
        <v>0.3100909090909091</v>
      </c>
      <c r="N208" s="105">
        <f t="shared" si="33"/>
        <v>2.5327272727272727</v>
      </c>
      <c r="O208" s="105">
        <f t="shared" si="33"/>
        <v>1.0227272727272727</v>
      </c>
      <c r="P208" s="105">
        <f t="shared" si="33"/>
        <v>318.16363636363633</v>
      </c>
      <c r="Q208" s="105">
        <f t="shared" si="33"/>
        <v>30.069090909090907</v>
      </c>
      <c r="R208" s="105">
        <f t="shared" si="33"/>
        <v>112.14999999999999</v>
      </c>
      <c r="S208" s="105">
        <f t="shared" si="33"/>
        <v>2.0736363636363637</v>
      </c>
    </row>
    <row r="209" spans="1:19" s="56" customFormat="1" ht="12.75">
      <c r="A209" s="149" t="s">
        <v>31</v>
      </c>
      <c r="B209" s="149"/>
      <c r="C209" s="149"/>
      <c r="D209" s="149"/>
      <c r="E209" s="92"/>
      <c r="F209" s="93"/>
      <c r="G209" s="93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1:19" s="56" customFormat="1" ht="12.75">
      <c r="A210" s="146" t="s">
        <v>120</v>
      </c>
      <c r="B210" s="146"/>
      <c r="C210" s="146"/>
      <c r="D210" s="146"/>
      <c r="E210" s="102"/>
      <c r="F210" s="100"/>
      <c r="G210" s="100">
        <v>100</v>
      </c>
      <c r="H210" s="101">
        <f>0.48*1.67</f>
        <v>0.8016</v>
      </c>
      <c r="I210" s="101">
        <f>0.06*1.67</f>
        <v>0.1002</v>
      </c>
      <c r="J210" s="101">
        <f>0.96*1.67</f>
        <v>1.6032</v>
      </c>
      <c r="K210" s="101">
        <f>8*1.67</f>
        <v>13.36</v>
      </c>
      <c r="L210" s="101">
        <f>0.02*1.67</f>
        <v>0.0334</v>
      </c>
      <c r="M210" s="101">
        <f>0.02*1.67</f>
        <v>0.0334</v>
      </c>
      <c r="N210" s="101">
        <f>3*1.67</f>
        <v>5.01</v>
      </c>
      <c r="O210" s="101">
        <f>0.06*1.67</f>
        <v>0.1002</v>
      </c>
      <c r="P210" s="101">
        <f>13.8*1.67</f>
        <v>23.046</v>
      </c>
      <c r="Q210" s="101">
        <f>8.4*1.67</f>
        <v>14.028</v>
      </c>
      <c r="R210" s="101">
        <f>14.4*1.67</f>
        <v>24.048</v>
      </c>
      <c r="S210" s="101">
        <f>0.36*1.67</f>
        <v>0.6012</v>
      </c>
    </row>
    <row r="211" spans="1:19" s="56" customFormat="1" ht="12.75">
      <c r="A211" s="146" t="s">
        <v>108</v>
      </c>
      <c r="B211" s="146"/>
      <c r="C211" s="146"/>
      <c r="D211" s="146"/>
      <c r="E211" s="102"/>
      <c r="F211" s="100" t="s">
        <v>109</v>
      </c>
      <c r="G211" s="100" t="s">
        <v>110</v>
      </c>
      <c r="H211" s="101">
        <v>5.16</v>
      </c>
      <c r="I211" s="101">
        <v>3.39</v>
      </c>
      <c r="J211" s="101">
        <v>20.07</v>
      </c>
      <c r="K211" s="101">
        <v>134</v>
      </c>
      <c r="L211" s="101">
        <v>0.04</v>
      </c>
      <c r="M211" s="101">
        <v>0.15</v>
      </c>
      <c r="N211" s="101">
        <v>24.1</v>
      </c>
      <c r="O211" s="101">
        <v>0.36</v>
      </c>
      <c r="P211" s="101">
        <v>27.26</v>
      </c>
      <c r="Q211" s="101">
        <v>35.39</v>
      </c>
      <c r="R211" s="101">
        <v>103.81</v>
      </c>
      <c r="S211" s="101">
        <v>1.31</v>
      </c>
    </row>
    <row r="212" spans="1:19" s="56" customFormat="1" ht="12.75">
      <c r="A212" s="146" t="s">
        <v>121</v>
      </c>
      <c r="B212" s="146"/>
      <c r="C212" s="146"/>
      <c r="D212" s="146"/>
      <c r="E212" s="102"/>
      <c r="F212" s="100" t="s">
        <v>122</v>
      </c>
      <c r="G212" s="100" t="s">
        <v>130</v>
      </c>
      <c r="H212" s="101">
        <v>20.13</v>
      </c>
      <c r="I212" s="101">
        <v>9.31</v>
      </c>
      <c r="J212" s="101">
        <v>4.97</v>
      </c>
      <c r="K212" s="101">
        <v>185</v>
      </c>
      <c r="L212" s="101">
        <v>0.08</v>
      </c>
      <c r="M212" s="101">
        <v>0.31</v>
      </c>
      <c r="N212" s="101">
        <v>0.39</v>
      </c>
      <c r="O212" s="101">
        <v>2.56</v>
      </c>
      <c r="P212" s="101">
        <v>57.93</v>
      </c>
      <c r="Q212" s="101">
        <v>29.99</v>
      </c>
      <c r="R212" s="101">
        <v>239.77</v>
      </c>
      <c r="S212" s="101">
        <v>2.34</v>
      </c>
    </row>
    <row r="213" spans="1:19" s="56" customFormat="1" ht="12.75">
      <c r="A213" s="146" t="s">
        <v>102</v>
      </c>
      <c r="B213" s="146"/>
      <c r="C213" s="146"/>
      <c r="D213" s="146"/>
      <c r="E213" s="102"/>
      <c r="F213" s="100" t="s">
        <v>103</v>
      </c>
      <c r="G213" s="100">
        <v>180</v>
      </c>
      <c r="H213" s="101">
        <v>4.58</v>
      </c>
      <c r="I213" s="101">
        <v>7.33</v>
      </c>
      <c r="J213" s="101">
        <v>46.33</v>
      </c>
      <c r="K213" s="101">
        <v>275</v>
      </c>
      <c r="L213" s="101">
        <v>0.08</v>
      </c>
      <c r="M213" s="101">
        <v>0.04</v>
      </c>
      <c r="N213" s="101">
        <v>0</v>
      </c>
      <c r="O213" s="101">
        <v>0.53</v>
      </c>
      <c r="P213" s="101">
        <v>6.15</v>
      </c>
      <c r="Q213" s="101">
        <v>32.43</v>
      </c>
      <c r="R213" s="101">
        <v>98.74</v>
      </c>
      <c r="S213" s="101">
        <v>0.67</v>
      </c>
    </row>
    <row r="214" spans="1:19" s="56" customFormat="1" ht="12.75">
      <c r="A214" s="146" t="s">
        <v>27</v>
      </c>
      <c r="B214" s="146"/>
      <c r="C214" s="146"/>
      <c r="D214" s="146"/>
      <c r="E214" s="102"/>
      <c r="F214" s="100" t="s">
        <v>28</v>
      </c>
      <c r="G214" s="100">
        <v>200</v>
      </c>
      <c r="H214" s="101">
        <v>0.26</v>
      </c>
      <c r="I214" s="101">
        <v>0.06</v>
      </c>
      <c r="J214" s="101">
        <v>15.22</v>
      </c>
      <c r="K214" s="101">
        <v>59</v>
      </c>
      <c r="L214" s="101">
        <v>0</v>
      </c>
      <c r="M214" s="101">
        <v>0</v>
      </c>
      <c r="N214" s="101">
        <v>2.9</v>
      </c>
      <c r="O214" s="101">
        <v>0</v>
      </c>
      <c r="P214" s="101">
        <v>8.05</v>
      </c>
      <c r="Q214" s="101">
        <v>5.24</v>
      </c>
      <c r="R214" s="101">
        <v>9.78</v>
      </c>
      <c r="S214" s="101">
        <v>0.91</v>
      </c>
    </row>
    <row r="215" spans="1:19" s="56" customFormat="1" ht="12.75">
      <c r="A215" s="147" t="s">
        <v>40</v>
      </c>
      <c r="B215" s="147"/>
      <c r="C215" s="147"/>
      <c r="D215" s="147"/>
      <c r="E215" s="102"/>
      <c r="F215" s="100"/>
      <c r="G215" s="100">
        <v>60</v>
      </c>
      <c r="H215" s="101">
        <v>2.82</v>
      </c>
      <c r="I215" s="101">
        <v>0.6</v>
      </c>
      <c r="J215" s="101">
        <v>0.6</v>
      </c>
      <c r="K215" s="101">
        <v>126</v>
      </c>
      <c r="L215" s="101">
        <v>0</v>
      </c>
      <c r="M215" s="101">
        <v>0.04</v>
      </c>
      <c r="N215" s="101">
        <v>0</v>
      </c>
      <c r="O215" s="101">
        <v>0.78</v>
      </c>
      <c r="P215" s="101">
        <v>14.4</v>
      </c>
      <c r="Q215" s="101">
        <v>11.4</v>
      </c>
      <c r="R215" s="101">
        <v>52.2</v>
      </c>
      <c r="S215" s="101">
        <v>2.24</v>
      </c>
    </row>
    <row r="216" spans="1:19" s="56" customFormat="1" ht="12.75">
      <c r="A216" s="154" t="s">
        <v>30</v>
      </c>
      <c r="B216" s="154"/>
      <c r="C216" s="154"/>
      <c r="D216" s="154"/>
      <c r="E216" s="103"/>
      <c r="F216" s="104"/>
      <c r="G216" s="104"/>
      <c r="H216" s="105">
        <f aca="true" t="shared" si="34" ref="H216:S216">SUM(H210:H215)</f>
        <v>33.751599999999996</v>
      </c>
      <c r="I216" s="105">
        <f t="shared" si="34"/>
        <v>20.790200000000002</v>
      </c>
      <c r="J216" s="105">
        <f t="shared" si="34"/>
        <v>88.79319999999998</v>
      </c>
      <c r="K216" s="105">
        <f t="shared" si="34"/>
        <v>792.36</v>
      </c>
      <c r="L216" s="105">
        <f t="shared" si="34"/>
        <v>0.2334</v>
      </c>
      <c r="M216" s="105">
        <f t="shared" si="34"/>
        <v>0.5734</v>
      </c>
      <c r="N216" s="105">
        <f t="shared" si="34"/>
        <v>32.4</v>
      </c>
      <c r="O216" s="105">
        <f t="shared" si="34"/>
        <v>4.3302000000000005</v>
      </c>
      <c r="P216" s="105">
        <f t="shared" si="34"/>
        <v>136.83599999999998</v>
      </c>
      <c r="Q216" s="105">
        <f t="shared" si="34"/>
        <v>128.47799999999998</v>
      </c>
      <c r="R216" s="105">
        <f t="shared" si="34"/>
        <v>528.3480000000001</v>
      </c>
      <c r="S216" s="105">
        <f t="shared" si="34"/>
        <v>8.071200000000001</v>
      </c>
    </row>
    <row r="217" spans="1:19" s="56" customFormat="1" ht="12.75">
      <c r="A217" s="155" t="s">
        <v>41</v>
      </c>
      <c r="B217" s="155"/>
      <c r="C217" s="155"/>
      <c r="D217" s="155"/>
      <c r="E217" s="108"/>
      <c r="F217" s="109"/>
      <c r="G217" s="109"/>
      <c r="H217" s="110">
        <f>SUM(H208+H216)</f>
        <v>61.74478181818181</v>
      </c>
      <c r="I217" s="110">
        <f aca="true" t="shared" si="35" ref="I217:S217">SUM(I208+I216)</f>
        <v>80.49656363636363</v>
      </c>
      <c r="J217" s="110">
        <f t="shared" si="35"/>
        <v>268.63865454545453</v>
      </c>
      <c r="K217" s="110">
        <f t="shared" si="35"/>
        <v>1476.5872727272726</v>
      </c>
      <c r="L217" s="110">
        <f t="shared" si="35"/>
        <v>0.3061272727272727</v>
      </c>
      <c r="M217" s="110">
        <f t="shared" si="35"/>
        <v>0.8834909090909091</v>
      </c>
      <c r="N217" s="110">
        <f t="shared" si="35"/>
        <v>34.93272727272727</v>
      </c>
      <c r="O217" s="110">
        <f t="shared" si="35"/>
        <v>5.352927272727273</v>
      </c>
      <c r="P217" s="110">
        <f t="shared" si="35"/>
        <v>454.99963636363634</v>
      </c>
      <c r="Q217" s="110">
        <f t="shared" si="35"/>
        <v>158.54709090909088</v>
      </c>
      <c r="R217" s="110">
        <f t="shared" si="35"/>
        <v>640.498</v>
      </c>
      <c r="S217" s="110">
        <f t="shared" si="35"/>
        <v>10.144836363636365</v>
      </c>
    </row>
    <row r="218" spans="1:19" s="56" customFormat="1" ht="15" customHeight="1">
      <c r="A218" s="85"/>
      <c r="B218" s="159" t="s">
        <v>123</v>
      </c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S218" s="86"/>
    </row>
    <row r="219" spans="2:18" ht="15.75" customHeight="1">
      <c r="B219" s="159" t="s">
        <v>124</v>
      </c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"/>
    </row>
    <row r="220" spans="2:18" ht="15.75" customHeight="1">
      <c r="B220" s="159" t="s">
        <v>129</v>
      </c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"/>
    </row>
    <row r="221" spans="2:12" ht="15.75" customHeight="1">
      <c r="B221" s="76" t="s">
        <v>131</v>
      </c>
      <c r="C221" s="76"/>
      <c r="D221" s="76"/>
      <c r="E221" s="77"/>
      <c r="G221" s="76" t="s">
        <v>132</v>
      </c>
      <c r="H221" s="78"/>
      <c r="I221" s="77"/>
      <c r="J221" s="77"/>
      <c r="K221" s="77"/>
      <c r="L221" s="77"/>
    </row>
    <row r="222" spans="2:12" ht="15.75" customHeight="1">
      <c r="B222" s="76" t="s">
        <v>133</v>
      </c>
      <c r="C222" s="76"/>
      <c r="D222" s="76"/>
      <c r="E222" s="77"/>
      <c r="G222" s="1" t="s">
        <v>134</v>
      </c>
      <c r="H222" s="79"/>
      <c r="I222" s="77"/>
      <c r="J222" s="77"/>
      <c r="K222" s="77"/>
      <c r="L222" s="77"/>
    </row>
    <row r="223" ht="15.75" customHeight="1"/>
  </sheetData>
  <sheetProtection selectLockedCells="1" selectUnlockedCells="1"/>
  <mergeCells count="246">
    <mergeCell ref="A27:D28"/>
    <mergeCell ref="F27:F28"/>
    <mergeCell ref="G27:G28"/>
    <mergeCell ref="H27:K27"/>
    <mergeCell ref="L27:S27"/>
    <mergeCell ref="G177:G178"/>
    <mergeCell ref="H177:K177"/>
    <mergeCell ref="L177:S177"/>
    <mergeCell ref="H92:K92"/>
    <mergeCell ref="L92:S92"/>
    <mergeCell ref="G92:G93"/>
    <mergeCell ref="F160:F161"/>
    <mergeCell ref="G160:G161"/>
    <mergeCell ref="H160:K160"/>
    <mergeCell ref="L160:S160"/>
    <mergeCell ref="A213:D213"/>
    <mergeCell ref="A211:D211"/>
    <mergeCell ref="A212:D212"/>
    <mergeCell ref="A201:D201"/>
    <mergeCell ref="A202:D202"/>
    <mergeCell ref="F177:F178"/>
    <mergeCell ref="A214:D214"/>
    <mergeCell ref="A215:D215"/>
    <mergeCell ref="A216:D216"/>
    <mergeCell ref="B220:Q220"/>
    <mergeCell ref="A217:D217"/>
    <mergeCell ref="B218:L218"/>
    <mergeCell ref="B219:Q219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00:D200"/>
    <mergeCell ref="A198:D198"/>
    <mergeCell ref="A199:D199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86:D186"/>
    <mergeCell ref="A187:D187"/>
    <mergeCell ref="A181:D181"/>
    <mergeCell ref="A182:D182"/>
    <mergeCell ref="A183:D183"/>
    <mergeCell ref="A184:D184"/>
    <mergeCell ref="A185:D185"/>
    <mergeCell ref="A180:D180"/>
    <mergeCell ref="A173:D173"/>
    <mergeCell ref="A174:D174"/>
    <mergeCell ref="A175:D175"/>
    <mergeCell ref="A176:D176"/>
    <mergeCell ref="A179:D179"/>
    <mergeCell ref="A177:D178"/>
    <mergeCell ref="A171:D171"/>
    <mergeCell ref="A172:D172"/>
    <mergeCell ref="A167:D167"/>
    <mergeCell ref="A168:D168"/>
    <mergeCell ref="A156:D156"/>
    <mergeCell ref="A157:D157"/>
    <mergeCell ref="A158:D158"/>
    <mergeCell ref="A159:D159"/>
    <mergeCell ref="A163:D163"/>
    <mergeCell ref="A164:D164"/>
    <mergeCell ref="A169:D169"/>
    <mergeCell ref="A170:D170"/>
    <mergeCell ref="A165:D165"/>
    <mergeCell ref="A166:D166"/>
    <mergeCell ref="A151:D151"/>
    <mergeCell ref="A152:D152"/>
    <mergeCell ref="A153:D153"/>
    <mergeCell ref="A162:D162"/>
    <mergeCell ref="A160:D161"/>
    <mergeCell ref="A145:D145"/>
    <mergeCell ref="A146:D146"/>
    <mergeCell ref="A154:D154"/>
    <mergeCell ref="A155:D155"/>
    <mergeCell ref="A147:D147"/>
    <mergeCell ref="A148:D148"/>
    <mergeCell ref="A149:D149"/>
    <mergeCell ref="A150:D150"/>
    <mergeCell ref="A140:D140"/>
    <mergeCell ref="A141:D141"/>
    <mergeCell ref="A142:D142"/>
    <mergeCell ref="A143:D143"/>
    <mergeCell ref="A144:D144"/>
    <mergeCell ref="A133:D133"/>
    <mergeCell ref="A134:D135"/>
    <mergeCell ref="A136:D136"/>
    <mergeCell ref="A137:D137"/>
    <mergeCell ref="A138:D138"/>
    <mergeCell ref="A139:D139"/>
    <mergeCell ref="G134:G135"/>
    <mergeCell ref="H134:K134"/>
    <mergeCell ref="L134:S134"/>
    <mergeCell ref="A131:D131"/>
    <mergeCell ref="A132:D132"/>
    <mergeCell ref="F134:F135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2:D112"/>
    <mergeCell ref="A113:D113"/>
    <mergeCell ref="A114:D114"/>
    <mergeCell ref="A115:D115"/>
    <mergeCell ref="A116:D116"/>
    <mergeCell ref="A110:D110"/>
    <mergeCell ref="A111:D111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95:D95"/>
    <mergeCell ref="A96:D96"/>
    <mergeCell ref="A97:D97"/>
    <mergeCell ref="A98:D98"/>
    <mergeCell ref="A99:D99"/>
    <mergeCell ref="A94:D94"/>
    <mergeCell ref="A82:D82"/>
    <mergeCell ref="A84:D84"/>
    <mergeCell ref="A85:D85"/>
    <mergeCell ref="A86:D86"/>
    <mergeCell ref="A87:D87"/>
    <mergeCell ref="A88:D88"/>
    <mergeCell ref="A89:D89"/>
    <mergeCell ref="A90:D90"/>
    <mergeCell ref="A79:D79"/>
    <mergeCell ref="A80:D80"/>
    <mergeCell ref="A81:D81"/>
    <mergeCell ref="A91:D91"/>
    <mergeCell ref="A92:D93"/>
    <mergeCell ref="F92:F93"/>
    <mergeCell ref="H72:K72"/>
    <mergeCell ref="L72:S72"/>
    <mergeCell ref="A75:D75"/>
    <mergeCell ref="A76:D76"/>
    <mergeCell ref="A77:D77"/>
    <mergeCell ref="A78:D78"/>
    <mergeCell ref="A74:D74"/>
    <mergeCell ref="F72:F73"/>
    <mergeCell ref="G72:G73"/>
    <mergeCell ref="A67:D67"/>
    <mergeCell ref="A68:D68"/>
    <mergeCell ref="A69:D69"/>
    <mergeCell ref="A70:D70"/>
    <mergeCell ref="A71:D71"/>
    <mergeCell ref="A72:D73"/>
    <mergeCell ref="A65:D65"/>
    <mergeCell ref="A66:D66"/>
    <mergeCell ref="A60:D60"/>
    <mergeCell ref="A61:D61"/>
    <mergeCell ref="A62:D62"/>
    <mergeCell ref="A63:D63"/>
    <mergeCell ref="A64:D64"/>
    <mergeCell ref="A44:D44"/>
    <mergeCell ref="A46:D47"/>
    <mergeCell ref="A56:D56"/>
    <mergeCell ref="A57:D57"/>
    <mergeCell ref="A58:D58"/>
    <mergeCell ref="A59:D59"/>
    <mergeCell ref="A48:D48"/>
    <mergeCell ref="A49:D49"/>
    <mergeCell ref="A50:D50"/>
    <mergeCell ref="A51:D51"/>
    <mergeCell ref="F46:F47"/>
    <mergeCell ref="A52:D52"/>
    <mergeCell ref="A53:D53"/>
    <mergeCell ref="A54:D54"/>
    <mergeCell ref="A55:D55"/>
    <mergeCell ref="G46:G47"/>
    <mergeCell ref="H46:K46"/>
    <mergeCell ref="L46:S46"/>
    <mergeCell ref="A43:D43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31:D31"/>
    <mergeCell ref="A32:D32"/>
    <mergeCell ref="A26:D26"/>
    <mergeCell ref="A29:D29"/>
    <mergeCell ref="A30:D30"/>
    <mergeCell ref="A25:D25"/>
    <mergeCell ref="G9:G10"/>
    <mergeCell ref="H9:K9"/>
    <mergeCell ref="A17:D17"/>
    <mergeCell ref="A18:D18"/>
    <mergeCell ref="A19:D19"/>
    <mergeCell ref="A20:D20"/>
    <mergeCell ref="A21:D21"/>
    <mergeCell ref="A23:D23"/>
    <mergeCell ref="A13:D13"/>
    <mergeCell ref="A14:D14"/>
    <mergeCell ref="A15:D15"/>
    <mergeCell ref="A16:D16"/>
    <mergeCell ref="A24:D24"/>
    <mergeCell ref="A22:D22"/>
    <mergeCell ref="A11:D11"/>
    <mergeCell ref="A12:D12"/>
    <mergeCell ref="A1:B1"/>
    <mergeCell ref="Q1:S1"/>
    <mergeCell ref="A2:D2"/>
    <mergeCell ref="A7:J7"/>
    <mergeCell ref="A8:I8"/>
    <mergeCell ref="A9:D10"/>
    <mergeCell ref="F9:F10"/>
    <mergeCell ref="L9:S9"/>
    <mergeCell ref="A6:S6"/>
    <mergeCell ref="P2:S2"/>
    <mergeCell ref="A3:B3"/>
    <mergeCell ref="N3:S3"/>
    <mergeCell ref="A4:C4"/>
    <mergeCell ref="O4:S4"/>
    <mergeCell ref="A5:S5"/>
  </mergeCells>
  <printOptions/>
  <pageMargins left="0.31527777777777777" right="0.31527777777777777" top="0.39375" bottom="0.211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2021-03-24T06:57:25Z</cp:lastPrinted>
  <dcterms:created xsi:type="dcterms:W3CDTF">2020-09-08T10:59:15Z</dcterms:created>
  <dcterms:modified xsi:type="dcterms:W3CDTF">2021-03-31T09:10:48Z</dcterms:modified>
  <cp:category/>
  <cp:version/>
  <cp:contentType/>
  <cp:contentStatus/>
</cp:coreProperties>
</file>