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30" windowWidth="11355" windowHeight="9210" tabRatio="705" activeTab="1"/>
  </bookViews>
  <sheets>
    <sheet name="1 день" sheetId="5" r:id="rId1"/>
    <sheet name="2 день" sheetId="2" r:id="rId2"/>
    <sheet name="3 день" sheetId="7" r:id="rId3"/>
    <sheet name="4 день" sheetId="8" r:id="rId4"/>
    <sheet name="5 день" sheetId="9" r:id="rId5"/>
    <sheet name="6 день" sheetId="10" r:id="rId6"/>
    <sheet name="7 день" sheetId="11" r:id="rId7"/>
    <sheet name="8 день" sheetId="12" r:id="rId8"/>
    <sheet name="9 день" sheetId="13" r:id="rId9"/>
    <sheet name="10 день" sheetId="14" r:id="rId10"/>
    <sheet name="11 день" sheetId="19" r:id="rId11"/>
    <sheet name="12 день" sheetId="20" r:id="rId12"/>
    <sheet name="Таблица подсчета" sheetId="18" r:id="rId13"/>
  </sheets>
  <calcPr calcId="124519"/>
</workbook>
</file>

<file path=xl/calcChain.xml><?xml version="1.0" encoding="utf-8"?>
<calcChain xmlns="http://schemas.openxmlformats.org/spreadsheetml/2006/main">
  <c r="G7" i="20"/>
  <c r="G7" i="19"/>
  <c r="R7"/>
  <c r="F7"/>
  <c r="F7" i="14"/>
  <c r="R7" i="13"/>
  <c r="G7"/>
  <c r="G7" i="12"/>
  <c r="R7"/>
  <c r="F7"/>
  <c r="H7"/>
  <c r="G7" i="11"/>
  <c r="R7"/>
  <c r="U7" i="10"/>
  <c r="G7" i="9"/>
  <c r="R7" i="10"/>
  <c r="F7"/>
  <c r="R7" i="9"/>
  <c r="G7" i="8"/>
  <c r="G7" i="7"/>
  <c r="R7" i="8"/>
  <c r="F7"/>
  <c r="R7" i="7"/>
  <c r="H7" i="2"/>
  <c r="U7" i="5"/>
  <c r="R7"/>
  <c r="F7"/>
  <c r="K7" i="19"/>
  <c r="K7" i="13"/>
  <c r="K7" i="11"/>
  <c r="K7" i="9"/>
  <c r="K7" i="7"/>
  <c r="O7"/>
  <c r="E7" i="20"/>
  <c r="E7" i="13"/>
  <c r="E7" i="9"/>
  <c r="D7" i="19"/>
  <c r="D7" i="12"/>
  <c r="D7" i="10"/>
  <c r="D7" i="8"/>
  <c r="D7" i="5"/>
  <c r="B30" i="19"/>
  <c r="M18" i="18"/>
  <c r="C7" i="12"/>
  <c r="N7" i="13"/>
  <c r="C7"/>
  <c r="P7" i="12"/>
  <c r="O7" i="11"/>
  <c r="C7"/>
  <c r="O7" i="10"/>
  <c r="C7"/>
  <c r="C7" i="8"/>
  <c r="S7" i="7"/>
  <c r="P7"/>
  <c r="P7" i="2"/>
  <c r="O7" i="5"/>
  <c r="C7"/>
  <c r="E7"/>
  <c r="L7"/>
  <c r="K3" s="1"/>
  <c r="K7"/>
  <c r="B44"/>
  <c r="C26" i="18"/>
  <c r="C7" i="19"/>
  <c r="S7" i="20"/>
  <c r="S7" i="19"/>
  <c r="R7" i="14"/>
  <c r="S7" i="13"/>
  <c r="S7" i="12"/>
  <c r="S7" i="11"/>
  <c r="S7" i="10"/>
  <c r="S7" i="9"/>
  <c r="S7" i="8"/>
  <c r="T7" i="7"/>
  <c r="S7" i="2"/>
  <c r="P7" i="20"/>
  <c r="Q7"/>
  <c r="K7"/>
  <c r="K7" i="14"/>
  <c r="K7" i="12"/>
  <c r="K7" i="10"/>
  <c r="K7" i="8"/>
  <c r="C7" i="20"/>
  <c r="B16"/>
  <c r="N9" i="18"/>
  <c r="B16" i="19"/>
  <c r="M9" i="18"/>
  <c r="B51" i="10"/>
  <c r="H11" i="18"/>
  <c r="B51" i="12"/>
  <c r="J11" i="18"/>
  <c r="B51" i="19"/>
  <c r="M11" i="18"/>
  <c r="B51" i="5"/>
  <c r="C11" i="18"/>
  <c r="B51" i="8"/>
  <c r="F11" i="18"/>
  <c r="B51" i="20"/>
  <c r="N11" i="18"/>
  <c r="B51" i="2"/>
  <c r="D11" i="18"/>
  <c r="B51" i="14"/>
  <c r="L11" i="18"/>
  <c r="B51" i="7"/>
  <c r="E11" i="18"/>
  <c r="B51" i="9"/>
  <c r="G11" i="18"/>
  <c r="B51" i="11"/>
  <c r="I11" i="18"/>
  <c r="B51" i="13"/>
  <c r="K11" i="18"/>
  <c r="E7" i="14"/>
  <c r="E7" i="12"/>
  <c r="E7" i="8"/>
  <c r="P7" i="14"/>
  <c r="Q7" i="12"/>
  <c r="B50" i="5"/>
  <c r="C28" i="18" s="1"/>
  <c r="B50" i="2"/>
  <c r="D28" i="18" s="1"/>
  <c r="B49" i="20"/>
  <c r="N21" i="18" s="1"/>
  <c r="B49" i="14"/>
  <c r="L21" i="18" s="1"/>
  <c r="B49" i="12"/>
  <c r="J21" i="18" s="1"/>
  <c r="B49" i="10"/>
  <c r="H21" i="18" s="1"/>
  <c r="B49" i="8"/>
  <c r="F21" i="18" s="1"/>
  <c r="B49" i="2"/>
  <c r="D21" i="18" s="1"/>
  <c r="B49" i="5"/>
  <c r="C21" i="18" s="1"/>
  <c r="B49" i="7"/>
  <c r="E21" i="18" s="1"/>
  <c r="B49" i="9"/>
  <c r="G21" i="18" s="1"/>
  <c r="B49" i="11"/>
  <c r="I21" i="18" s="1"/>
  <c r="B49" i="13"/>
  <c r="K21" i="18" s="1"/>
  <c r="B49" i="19"/>
  <c r="M21" i="18" s="1"/>
  <c r="L7" i="19"/>
  <c r="L7" i="13"/>
  <c r="L7" i="11"/>
  <c r="L7" i="9"/>
  <c r="L7" i="7"/>
  <c r="D7" i="20"/>
  <c r="D7" i="13"/>
  <c r="D7" i="9"/>
  <c r="E7" i="2"/>
  <c r="B20" i="13"/>
  <c r="K13" i="18"/>
  <c r="C7" i="7"/>
  <c r="P7" i="19"/>
  <c r="O7" i="20"/>
  <c r="O7" i="14"/>
  <c r="O7" i="13"/>
  <c r="O7" i="9"/>
  <c r="O7" i="12"/>
  <c r="D7" i="2"/>
  <c r="Q7" i="11"/>
  <c r="B30" i="20"/>
  <c r="N18" i="18" s="1"/>
  <c r="B30" i="14"/>
  <c r="L18" i="18" s="1"/>
  <c r="B30" i="13"/>
  <c r="K18" i="18" s="1"/>
  <c r="B30" i="12"/>
  <c r="J18" i="18" s="1"/>
  <c r="B30" i="11"/>
  <c r="I18" i="18" s="1"/>
  <c r="B30" i="10"/>
  <c r="H18" i="18" s="1"/>
  <c r="B30" i="9"/>
  <c r="G18" i="18" s="1"/>
  <c r="B30" i="8"/>
  <c r="F18" i="18" s="1"/>
  <c r="B30" i="7"/>
  <c r="E18" i="18" s="1"/>
  <c r="B30" i="2"/>
  <c r="D18" i="18" s="1"/>
  <c r="B30" i="5"/>
  <c r="C18" i="18" s="1"/>
  <c r="O18" s="1"/>
  <c r="T18" s="1"/>
  <c r="B24" i="20"/>
  <c r="N17" i="18" s="1"/>
  <c r="B25" i="20"/>
  <c r="B26"/>
  <c r="B27"/>
  <c r="B28"/>
  <c r="B29"/>
  <c r="B31"/>
  <c r="B24" i="19"/>
  <c r="M17" i="18" s="1"/>
  <c r="B25" i="19"/>
  <c r="B26"/>
  <c r="B27"/>
  <c r="B28"/>
  <c r="B29"/>
  <c r="B31"/>
  <c r="B24" i="14"/>
  <c r="L17" i="18" s="1"/>
  <c r="B25" i="14"/>
  <c r="B26"/>
  <c r="B27"/>
  <c r="B28"/>
  <c r="B29"/>
  <c r="B31"/>
  <c r="B24" i="13"/>
  <c r="K17" i="18" s="1"/>
  <c r="B25" i="13"/>
  <c r="B26"/>
  <c r="B27"/>
  <c r="B28"/>
  <c r="B29"/>
  <c r="B31"/>
  <c r="B24" i="12"/>
  <c r="J17" i="18" s="1"/>
  <c r="B25" i="12"/>
  <c r="B26"/>
  <c r="B27"/>
  <c r="B28"/>
  <c r="B29"/>
  <c r="B31"/>
  <c r="B24" i="11"/>
  <c r="I17" i="18" s="1"/>
  <c r="B25" i="11"/>
  <c r="B26"/>
  <c r="B27"/>
  <c r="B28"/>
  <c r="B29"/>
  <c r="B31"/>
  <c r="B24" i="10"/>
  <c r="H17" i="18" s="1"/>
  <c r="B25" i="10"/>
  <c r="B26"/>
  <c r="B27"/>
  <c r="B28"/>
  <c r="B29"/>
  <c r="B31"/>
  <c r="B24" i="9"/>
  <c r="G17" i="18" s="1"/>
  <c r="B25" i="9"/>
  <c r="B26"/>
  <c r="B27"/>
  <c r="B28"/>
  <c r="B29"/>
  <c r="B31"/>
  <c r="B28" i="8"/>
  <c r="B24"/>
  <c r="B25"/>
  <c r="F17" i="18" s="1"/>
  <c r="B26" i="8"/>
  <c r="B27"/>
  <c r="B29"/>
  <c r="B31"/>
  <c r="B24" i="7"/>
  <c r="E17" i="18" s="1"/>
  <c r="B25" i="7"/>
  <c r="B26"/>
  <c r="B27"/>
  <c r="B28"/>
  <c r="B29"/>
  <c r="B31"/>
  <c r="B24" i="2"/>
  <c r="D17" i="18" s="1"/>
  <c r="B25" i="2"/>
  <c r="B26"/>
  <c r="B27"/>
  <c r="B28"/>
  <c r="B29"/>
  <c r="B31"/>
  <c r="B24" i="5"/>
  <c r="C17" i="18" s="1"/>
  <c r="O17" s="1"/>
  <c r="T17" s="1"/>
  <c r="B25" i="5"/>
  <c r="B26"/>
  <c r="B27"/>
  <c r="B28"/>
  <c r="B29"/>
  <c r="B31"/>
  <c r="B23" i="11"/>
  <c r="I31" i="18" s="1"/>
  <c r="B23" i="5"/>
  <c r="C31" i="18" s="1"/>
  <c r="B23" i="2"/>
  <c r="D31" i="18" s="1"/>
  <c r="B23" i="7"/>
  <c r="E31" i="18" s="1"/>
  <c r="B23" i="8"/>
  <c r="F31" i="18" s="1"/>
  <c r="B23" i="9"/>
  <c r="G31" i="18" s="1"/>
  <c r="B23" i="10"/>
  <c r="H31" i="18" s="1"/>
  <c r="B23" i="12"/>
  <c r="J31" i="18" s="1"/>
  <c r="B23" i="13"/>
  <c r="K31" i="18" s="1"/>
  <c r="B23" i="14"/>
  <c r="L31" i="18" s="1"/>
  <c r="B23" i="19"/>
  <c r="M31" i="18" s="1"/>
  <c r="B23" i="20"/>
  <c r="N31" i="18" s="1"/>
  <c r="B47" i="11"/>
  <c r="I30" i="18"/>
  <c r="B47" i="5"/>
  <c r="C30" i="18"/>
  <c r="B47" i="2"/>
  <c r="D30" i="18"/>
  <c r="B47" i="7"/>
  <c r="E30" i="18"/>
  <c r="B47" i="8"/>
  <c r="F30" i="18"/>
  <c r="B47" i="9"/>
  <c r="G30" i="18"/>
  <c r="B47" i="10"/>
  <c r="H30" i="18"/>
  <c r="B47" i="12"/>
  <c r="J30" i="18"/>
  <c r="B47" i="13"/>
  <c r="K30" i="18"/>
  <c r="B47" i="14"/>
  <c r="L30" i="18"/>
  <c r="B47" i="19"/>
  <c r="M30" i="18"/>
  <c r="B47" i="20"/>
  <c r="N30" i="18"/>
  <c r="B46" i="11"/>
  <c r="I29" i="18" s="1"/>
  <c r="B46" i="5"/>
  <c r="C29" i="18" s="1"/>
  <c r="B46" i="2"/>
  <c r="D29" i="18" s="1"/>
  <c r="B46" i="7"/>
  <c r="E29" i="18" s="1"/>
  <c r="B46" i="8"/>
  <c r="F29" i="18" s="1"/>
  <c r="B46" i="9"/>
  <c r="G29" i="18" s="1"/>
  <c r="B46" i="10"/>
  <c r="H29" i="18" s="1"/>
  <c r="B46" i="12"/>
  <c r="J29" i="18" s="1"/>
  <c r="B46" i="13"/>
  <c r="K29" i="18" s="1"/>
  <c r="B46" i="14"/>
  <c r="L29" i="18" s="1"/>
  <c r="B46" i="19"/>
  <c r="M29" i="18" s="1"/>
  <c r="B46" i="20"/>
  <c r="N29" i="18" s="1"/>
  <c r="B50" i="11"/>
  <c r="I28" i="18"/>
  <c r="B50" i="7"/>
  <c r="E28" i="18"/>
  <c r="B50" i="8"/>
  <c r="F28" i="18"/>
  <c r="B50" i="9"/>
  <c r="G28" i="18"/>
  <c r="B50" i="10"/>
  <c r="H28" i="18"/>
  <c r="B50" i="12"/>
  <c r="J28" i="18"/>
  <c r="B50" i="13"/>
  <c r="K28" i="18"/>
  <c r="B50" i="14"/>
  <c r="L28" i="18"/>
  <c r="B50" i="19"/>
  <c r="M28" i="18"/>
  <c r="B50" i="20"/>
  <c r="N28" i="18"/>
  <c r="B45" i="11"/>
  <c r="I27" i="18" s="1"/>
  <c r="B45" i="5"/>
  <c r="C27" i="18" s="1"/>
  <c r="B45" i="2"/>
  <c r="D27" i="18" s="1"/>
  <c r="B45" i="7"/>
  <c r="E27" i="18" s="1"/>
  <c r="B45" i="8"/>
  <c r="F27" i="18" s="1"/>
  <c r="B45" i="9"/>
  <c r="G27" i="18" s="1"/>
  <c r="B45" i="10"/>
  <c r="H27" i="18" s="1"/>
  <c r="B45" i="12"/>
  <c r="J27" i="18" s="1"/>
  <c r="B45" i="13"/>
  <c r="K27" i="18" s="1"/>
  <c r="B45" i="14"/>
  <c r="L27" i="18" s="1"/>
  <c r="B45" i="19"/>
  <c r="M27" i="18" s="1"/>
  <c r="B45" i="20"/>
  <c r="N27" i="18" s="1"/>
  <c r="B44" i="11"/>
  <c r="I26" i="18"/>
  <c r="B44" i="2"/>
  <c r="D26" i="18"/>
  <c r="B44" i="7"/>
  <c r="E26" i="18"/>
  <c r="B44" i="8"/>
  <c r="F26" i="18"/>
  <c r="B44" i="9"/>
  <c r="G26" i="18"/>
  <c r="B44" i="10"/>
  <c r="H26" i="18"/>
  <c r="B44" i="12"/>
  <c r="J26" i="18"/>
  <c r="B44" i="13"/>
  <c r="K26" i="18"/>
  <c r="B44" i="14"/>
  <c r="L26" i="18"/>
  <c r="B44" i="19"/>
  <c r="M26" i="18"/>
  <c r="B44" i="20"/>
  <c r="N26" i="18"/>
  <c r="B38" i="5"/>
  <c r="C25" i="18" s="1"/>
  <c r="B39" i="5"/>
  <c r="B40"/>
  <c r="B48"/>
  <c r="B41"/>
  <c r="B42"/>
  <c r="B43"/>
  <c r="B38" i="11"/>
  <c r="I25" i="18" s="1"/>
  <c r="B39" i="11"/>
  <c r="B40"/>
  <c r="B41"/>
  <c r="B42"/>
  <c r="B43"/>
  <c r="B48"/>
  <c r="B38" i="2"/>
  <c r="D25" i="18" s="1"/>
  <c r="B39" i="2"/>
  <c r="B40"/>
  <c r="B41"/>
  <c r="B42"/>
  <c r="B43"/>
  <c r="B48"/>
  <c r="B39" i="7"/>
  <c r="E25" i="18" s="1"/>
  <c r="B40" i="7"/>
  <c r="B48"/>
  <c r="B38"/>
  <c r="B41"/>
  <c r="B42"/>
  <c r="B43"/>
  <c r="B39" i="8"/>
  <c r="F25" i="18" s="1"/>
  <c r="B40" i="8"/>
  <c r="B41"/>
  <c r="B38"/>
  <c r="B42"/>
  <c r="B43"/>
  <c r="B48"/>
  <c r="B38" i="9"/>
  <c r="G25" i="18" s="1"/>
  <c r="B39" i="9"/>
  <c r="B40"/>
  <c r="B41"/>
  <c r="B42"/>
  <c r="B43"/>
  <c r="B48"/>
  <c r="B38" i="10"/>
  <c r="H25" i="18" s="1"/>
  <c r="B39" i="10"/>
  <c r="B40"/>
  <c r="B43"/>
  <c r="B48"/>
  <c r="B41"/>
  <c r="B42"/>
  <c r="B38" i="12"/>
  <c r="J25" i="18" s="1"/>
  <c r="B39" i="12"/>
  <c r="B40"/>
  <c r="B41"/>
  <c r="B42"/>
  <c r="B43"/>
  <c r="B48"/>
  <c r="B38" i="13"/>
  <c r="K25" i="18" s="1"/>
  <c r="B39" i="13"/>
  <c r="B40"/>
  <c r="B41"/>
  <c r="B42"/>
  <c r="B43"/>
  <c r="B48"/>
  <c r="B38" i="14"/>
  <c r="L25" i="18" s="1"/>
  <c r="B39" i="14"/>
  <c r="B40"/>
  <c r="B41"/>
  <c r="B42"/>
  <c r="B43"/>
  <c r="B48"/>
  <c r="B39" i="19"/>
  <c r="M25" i="18" s="1"/>
  <c r="B40" i="19"/>
  <c r="B48"/>
  <c r="B38"/>
  <c r="B41"/>
  <c r="B42"/>
  <c r="B43"/>
  <c r="B38" i="20"/>
  <c r="N25" i="18" s="1"/>
  <c r="B39" i="20"/>
  <c r="B40"/>
  <c r="B41"/>
  <c r="B42"/>
  <c r="B43"/>
  <c r="B48"/>
  <c r="B37" i="11"/>
  <c r="I24" i="18"/>
  <c r="B37" i="5"/>
  <c r="C24" i="18"/>
  <c r="B37" i="2"/>
  <c r="D24" i="18"/>
  <c r="B37" i="7"/>
  <c r="E24" i="18"/>
  <c r="B37" i="8"/>
  <c r="F24" i="18"/>
  <c r="B37" i="9"/>
  <c r="G24" i="18"/>
  <c r="B37" i="10"/>
  <c r="H24" i="18"/>
  <c r="B37" i="12"/>
  <c r="J24" i="18"/>
  <c r="B37" i="13"/>
  <c r="K24" i="18"/>
  <c r="B37" i="14"/>
  <c r="L24" i="18"/>
  <c r="B37" i="19"/>
  <c r="M24" i="18"/>
  <c r="B37" i="20"/>
  <c r="N24" i="18"/>
  <c r="B36" i="11"/>
  <c r="I23" i="18" s="1"/>
  <c r="B36" i="5"/>
  <c r="C23" i="18" s="1"/>
  <c r="B36" i="2"/>
  <c r="D23" i="18" s="1"/>
  <c r="B36" i="7"/>
  <c r="E23" i="18" s="1"/>
  <c r="B36" i="8"/>
  <c r="F23" i="18" s="1"/>
  <c r="B36" i="9"/>
  <c r="G23" i="18" s="1"/>
  <c r="B36" i="10"/>
  <c r="H23" i="18" s="1"/>
  <c r="B36" i="12"/>
  <c r="J23" i="18" s="1"/>
  <c r="B36" i="13"/>
  <c r="K23" i="18" s="1"/>
  <c r="B36" i="14"/>
  <c r="L23" i="18" s="1"/>
  <c r="B36" i="19"/>
  <c r="M23" i="18" s="1"/>
  <c r="B36" i="20"/>
  <c r="N23" i="18" s="1"/>
  <c r="B35" i="11"/>
  <c r="I22" i="18"/>
  <c r="B35" i="5"/>
  <c r="C22" i="18"/>
  <c r="B35" i="2"/>
  <c r="D22" i="18"/>
  <c r="B35" i="7"/>
  <c r="E22" i="18"/>
  <c r="B35" i="8"/>
  <c r="F22" i="18"/>
  <c r="B35" i="9"/>
  <c r="G22" i="18"/>
  <c r="B35" i="10"/>
  <c r="H22" i="18"/>
  <c r="B35" i="12"/>
  <c r="J22" i="18"/>
  <c r="B35" i="13"/>
  <c r="K22" i="18"/>
  <c r="B35" i="14"/>
  <c r="L22" i="18"/>
  <c r="B35" i="19"/>
  <c r="M22" i="18"/>
  <c r="B35" i="20"/>
  <c r="N22" i="18"/>
  <c r="B34" i="11"/>
  <c r="I20" i="18" s="1"/>
  <c r="B34" i="5"/>
  <c r="C20" i="18" s="1"/>
  <c r="B34" i="2"/>
  <c r="D20" i="18" s="1"/>
  <c r="B34" i="7"/>
  <c r="E20" i="18" s="1"/>
  <c r="B34" i="8"/>
  <c r="F20" i="18" s="1"/>
  <c r="B34" i="9"/>
  <c r="G20" i="18" s="1"/>
  <c r="B34" i="10"/>
  <c r="H20" i="18" s="1"/>
  <c r="B34" i="12"/>
  <c r="J20" i="18" s="1"/>
  <c r="B34" i="13"/>
  <c r="K20" i="18" s="1"/>
  <c r="B34" i="14"/>
  <c r="L20" i="18" s="1"/>
  <c r="B34" i="19"/>
  <c r="M20" i="18" s="1"/>
  <c r="B34" i="20"/>
  <c r="N20" i="18" s="1"/>
  <c r="B32" i="5"/>
  <c r="C19" i="18"/>
  <c r="B32" i="11"/>
  <c r="I19" i="18"/>
  <c r="B32" i="2"/>
  <c r="D19" i="18"/>
  <c r="B32" i="7"/>
  <c r="E19" i="18"/>
  <c r="B32" i="8"/>
  <c r="F19" i="18"/>
  <c r="B32" i="9"/>
  <c r="G19" i="18"/>
  <c r="B32" i="10"/>
  <c r="H19" i="18"/>
  <c r="B32" i="12"/>
  <c r="J19" i="18"/>
  <c r="B32" i="13"/>
  <c r="K19" i="18"/>
  <c r="B32" i="14"/>
  <c r="L19" i="18"/>
  <c r="B32" i="19"/>
  <c r="M19" i="18"/>
  <c r="B32" i="20"/>
  <c r="N19" i="18"/>
  <c r="B22" i="5"/>
  <c r="C16" i="18" s="1"/>
  <c r="B22" i="11"/>
  <c r="I16" i="18" s="1"/>
  <c r="B22" i="2"/>
  <c r="D16" i="18" s="1"/>
  <c r="B22" i="7"/>
  <c r="E16" i="18" s="1"/>
  <c r="B22" i="8"/>
  <c r="F16" i="18" s="1"/>
  <c r="B22" i="9"/>
  <c r="G16" i="18" s="1"/>
  <c r="B22" i="10"/>
  <c r="H16" i="18" s="1"/>
  <c r="B22" i="12"/>
  <c r="J16" i="18" s="1"/>
  <c r="B22" i="13"/>
  <c r="K16" i="18" s="1"/>
  <c r="B22" i="14"/>
  <c r="L16" i="18" s="1"/>
  <c r="B22" i="19"/>
  <c r="M16" i="18" s="1"/>
  <c r="B22" i="20"/>
  <c r="N16" i="18" s="1"/>
  <c r="B21" i="11"/>
  <c r="I15" i="18"/>
  <c r="B21" i="5"/>
  <c r="C15" i="18"/>
  <c r="B21" i="2"/>
  <c r="D15" i="18"/>
  <c r="B21" i="7"/>
  <c r="E15" i="18"/>
  <c r="B21" i="8"/>
  <c r="F15" i="18"/>
  <c r="B21" i="9"/>
  <c r="G15" i="18"/>
  <c r="B21" i="10"/>
  <c r="H15" i="18"/>
  <c r="B21" i="12"/>
  <c r="J15" i="18"/>
  <c r="B21" i="13"/>
  <c r="K15" i="18"/>
  <c r="B21" i="14"/>
  <c r="L15" i="18"/>
  <c r="B21" i="19"/>
  <c r="M15" i="18"/>
  <c r="B21" i="20"/>
  <c r="N15" i="18"/>
  <c r="B18" i="11"/>
  <c r="I14" i="18" s="1"/>
  <c r="B18" i="5"/>
  <c r="C14" i="18" s="1"/>
  <c r="B18" i="2"/>
  <c r="D14" i="18" s="1"/>
  <c r="B18" i="7"/>
  <c r="E14" i="18" s="1"/>
  <c r="B18" i="8"/>
  <c r="F14" i="18" s="1"/>
  <c r="B18" i="9"/>
  <c r="G14" i="18" s="1"/>
  <c r="B18" i="10"/>
  <c r="H14" i="18" s="1"/>
  <c r="B18" i="12"/>
  <c r="J14" i="18" s="1"/>
  <c r="B18" i="13"/>
  <c r="K14" i="18" s="1"/>
  <c r="B18" i="14"/>
  <c r="L14" i="18" s="1"/>
  <c r="B18" i="19"/>
  <c r="M14" i="18" s="1"/>
  <c r="B18" i="20"/>
  <c r="N14" i="18" s="1"/>
  <c r="B20" i="11"/>
  <c r="I13" i="18"/>
  <c r="B20" i="5"/>
  <c r="C13" i="18"/>
  <c r="B20" i="2"/>
  <c r="D13" i="18"/>
  <c r="B20" i="7"/>
  <c r="E13" i="18"/>
  <c r="B20" i="8"/>
  <c r="F13" i="18"/>
  <c r="B20" i="9"/>
  <c r="G13" i="18"/>
  <c r="B20" i="10"/>
  <c r="H13" i="18"/>
  <c r="B20" i="12"/>
  <c r="J13" i="18"/>
  <c r="B20" i="14"/>
  <c r="L13" i="18"/>
  <c r="B20" i="19"/>
  <c r="M13" i="18"/>
  <c r="B20" i="20"/>
  <c r="N13" i="18"/>
  <c r="B19" i="11"/>
  <c r="I12" i="18" s="1"/>
  <c r="B19" i="5"/>
  <c r="C12" i="18" s="1"/>
  <c r="B19" i="2"/>
  <c r="D12" i="18" s="1"/>
  <c r="B19" i="7"/>
  <c r="E12" i="18" s="1"/>
  <c r="B19" i="8"/>
  <c r="F12" i="18" s="1"/>
  <c r="B19" i="9"/>
  <c r="G12" i="18" s="1"/>
  <c r="B19" i="10"/>
  <c r="H12" i="18" s="1"/>
  <c r="B19" i="12"/>
  <c r="J12" i="18" s="1"/>
  <c r="B19" i="13"/>
  <c r="K12" i="18" s="1"/>
  <c r="B19" i="14"/>
  <c r="L12" i="18" s="1"/>
  <c r="B19" i="19"/>
  <c r="M12" i="18" s="1"/>
  <c r="B19" i="20"/>
  <c r="N12" i="18" s="1"/>
  <c r="B17" i="11"/>
  <c r="I10" i="18"/>
  <c r="B17" i="5"/>
  <c r="C10" i="18"/>
  <c r="B17" i="2"/>
  <c r="D10" i="18"/>
  <c r="B17" i="7"/>
  <c r="E10" i="18"/>
  <c r="B17" i="8"/>
  <c r="F10" i="18"/>
  <c r="B17" i="9"/>
  <c r="G10" i="18"/>
  <c r="B17" i="10"/>
  <c r="H10" i="18"/>
  <c r="B17" i="12"/>
  <c r="J10" i="18"/>
  <c r="B17" i="13"/>
  <c r="K10" i="18"/>
  <c r="B17" i="14"/>
  <c r="L10" i="18"/>
  <c r="B17" i="19"/>
  <c r="M10" i="18"/>
  <c r="B17" i="20"/>
  <c r="N10" i="18"/>
  <c r="B16" i="11"/>
  <c r="I9" i="18" s="1"/>
  <c r="B16" i="5"/>
  <c r="C9" i="18" s="1"/>
  <c r="O9" s="1"/>
  <c r="B16" i="2"/>
  <c r="D9" i="18" s="1"/>
  <c r="B16" i="7"/>
  <c r="E9" i="18" s="1"/>
  <c r="B16" i="8"/>
  <c r="F9" i="18" s="1"/>
  <c r="B16" i="9"/>
  <c r="G9" i="18" s="1"/>
  <c r="B16" i="10"/>
  <c r="H9" i="18" s="1"/>
  <c r="B16" i="12"/>
  <c r="J9" i="18" s="1"/>
  <c r="B16" i="13"/>
  <c r="K9" i="18" s="1"/>
  <c r="B16" i="14"/>
  <c r="L9" i="18" s="1"/>
  <c r="B15" i="5"/>
  <c r="C8" i="18"/>
  <c r="B15" i="11"/>
  <c r="I8" i="18"/>
  <c r="B15" i="2"/>
  <c r="D8" i="18"/>
  <c r="B15" i="7"/>
  <c r="E8" i="18"/>
  <c r="B15" i="8"/>
  <c r="F8" i="18"/>
  <c r="B15" i="9"/>
  <c r="G8" i="18"/>
  <c r="B15" i="10"/>
  <c r="H8" i="18"/>
  <c r="B15" i="12"/>
  <c r="J8" i="18"/>
  <c r="B15" i="13"/>
  <c r="K8" i="18"/>
  <c r="B15" i="14"/>
  <c r="L8" i="18"/>
  <c r="M8"/>
  <c r="N8"/>
  <c r="B12" i="5"/>
  <c r="B14" i="11"/>
  <c r="I6" i="18"/>
  <c r="B14" i="5"/>
  <c r="C6" i="18"/>
  <c r="B14" i="2"/>
  <c r="D6" i="18"/>
  <c r="B14" i="7"/>
  <c r="E6" i="18"/>
  <c r="B14" i="8"/>
  <c r="F6" i="18"/>
  <c r="B14" i="9"/>
  <c r="G6" i="18"/>
  <c r="B14" i="10"/>
  <c r="H6" i="18"/>
  <c r="B14" i="12"/>
  <c r="J6" i="18"/>
  <c r="B14" i="13"/>
  <c r="K6" i="18"/>
  <c r="B14" i="14"/>
  <c r="L6" i="18"/>
  <c r="B14" i="19"/>
  <c r="M6" i="18"/>
  <c r="B14" i="20"/>
  <c r="N6" i="18"/>
  <c r="B10" i="11"/>
  <c r="I5" i="18" s="1"/>
  <c r="B10" i="5"/>
  <c r="C5" i="18" s="1"/>
  <c r="B10" i="2"/>
  <c r="D5" i="18" s="1"/>
  <c r="B10" i="7"/>
  <c r="E5" i="18" s="1"/>
  <c r="B10" i="8"/>
  <c r="F5" i="18" s="1"/>
  <c r="B10" i="9"/>
  <c r="G5" i="18" s="1"/>
  <c r="B10" i="10"/>
  <c r="H5" i="18" s="1"/>
  <c r="B10" i="12"/>
  <c r="J5" i="18" s="1"/>
  <c r="O5" s="1"/>
  <c r="B10" i="13"/>
  <c r="K5" i="18" s="1"/>
  <c r="B10" i="14"/>
  <c r="L5" i="18" s="1"/>
  <c r="B10" i="19"/>
  <c r="M5" i="18" s="1"/>
  <c r="B10" i="20"/>
  <c r="N5" i="18" s="1"/>
  <c r="B12" i="11"/>
  <c r="I4" i="18"/>
  <c r="B12" i="2"/>
  <c r="D4" i="18" s="1"/>
  <c r="B12" i="7"/>
  <c r="E4" i="18" s="1"/>
  <c r="B12" i="8"/>
  <c r="F4" i="18" s="1"/>
  <c r="B12" i="9"/>
  <c r="G4" i="18" s="1"/>
  <c r="B12" i="10"/>
  <c r="H4" i="18" s="1"/>
  <c r="B12" i="12"/>
  <c r="J4" i="18" s="1"/>
  <c r="B12" i="13"/>
  <c r="K4" i="18" s="1"/>
  <c r="B12" i="14"/>
  <c r="L4" i="18" s="1"/>
  <c r="B12" i="19"/>
  <c r="M4" i="18" s="1"/>
  <c r="B12" i="20"/>
  <c r="N4" i="18" s="1"/>
  <c r="B8" i="11"/>
  <c r="B9"/>
  <c r="I3" i="18" s="1"/>
  <c r="B8" i="5"/>
  <c r="B9"/>
  <c r="C3" i="18"/>
  <c r="B8" i="2"/>
  <c r="B9"/>
  <c r="D3" i="18" s="1"/>
  <c r="B8" i="7"/>
  <c r="B9"/>
  <c r="E3" i="18"/>
  <c r="B8" i="8"/>
  <c r="B9"/>
  <c r="F3" i="18" s="1"/>
  <c r="B8" i="9"/>
  <c r="B9"/>
  <c r="G3" i="18"/>
  <c r="B8" i="10"/>
  <c r="B9"/>
  <c r="H3" i="18" s="1"/>
  <c r="B8" i="12"/>
  <c r="B9"/>
  <c r="J3" i="18"/>
  <c r="B8" i="13"/>
  <c r="B9"/>
  <c r="K3" i="18" s="1"/>
  <c r="B8" i="14"/>
  <c r="B9"/>
  <c r="L3" i="18"/>
  <c r="B8" i="19"/>
  <c r="B9"/>
  <c r="M3" i="18" s="1"/>
  <c r="B8" i="20"/>
  <c r="B9"/>
  <c r="N3" i="18"/>
  <c r="T7" i="2"/>
  <c r="F7" i="20"/>
  <c r="E7" i="19"/>
  <c r="F7" i="13"/>
  <c r="F7" i="11"/>
  <c r="F7" i="9"/>
  <c r="F7" i="7"/>
  <c r="T7" i="20"/>
  <c r="T7" i="19"/>
  <c r="S7" i="14"/>
  <c r="T7" i="13"/>
  <c r="T7" i="12"/>
  <c r="T7" i="11"/>
  <c r="T7" i="10"/>
  <c r="T7" i="9"/>
  <c r="T7" i="8"/>
  <c r="U7" i="7"/>
  <c r="R7" i="20"/>
  <c r="N7"/>
  <c r="Q7" i="19"/>
  <c r="N7"/>
  <c r="Q7" i="14"/>
  <c r="N7"/>
  <c r="D7"/>
  <c r="Q7" i="13"/>
  <c r="N7" i="12"/>
  <c r="N7" i="11"/>
  <c r="E7"/>
  <c r="D7"/>
  <c r="Q7" i="10"/>
  <c r="N7"/>
  <c r="E7"/>
  <c r="Q7" i="9"/>
  <c r="N7"/>
  <c r="D7" i="7"/>
  <c r="F7" i="2"/>
  <c r="G7"/>
  <c r="J7"/>
  <c r="U17" i="18"/>
  <c r="V17" s="1"/>
  <c r="Z17" s="1"/>
  <c r="U18"/>
  <c r="V18" s="1"/>
  <c r="Y17"/>
  <c r="Y3"/>
  <c r="X17"/>
  <c r="P18"/>
  <c r="Q18" s="1"/>
  <c r="Q7" i="8"/>
  <c r="R7" i="2"/>
  <c r="U7" i="20"/>
  <c r="N3" s="1"/>
  <c r="N2" s="1"/>
  <c r="H7"/>
  <c r="I7"/>
  <c r="O7" i="19"/>
  <c r="U7"/>
  <c r="H7"/>
  <c r="I7"/>
  <c r="T7" i="14"/>
  <c r="U7"/>
  <c r="N3"/>
  <c r="N2" s="1"/>
  <c r="C7"/>
  <c r="G7"/>
  <c r="H7"/>
  <c r="I7"/>
  <c r="P7" i="13"/>
  <c r="U7"/>
  <c r="H7"/>
  <c r="I7"/>
  <c r="U7" i="12"/>
  <c r="I7"/>
  <c r="P7" i="11"/>
  <c r="H7"/>
  <c r="I7"/>
  <c r="P7" i="10"/>
  <c r="G7"/>
  <c r="H7"/>
  <c r="I7"/>
  <c r="P7" i="9"/>
  <c r="C7"/>
  <c r="H7"/>
  <c r="I7"/>
  <c r="N7" i="8"/>
  <c r="O7"/>
  <c r="P7"/>
  <c r="H7"/>
  <c r="I7"/>
  <c r="N7" i="7"/>
  <c r="Q7"/>
  <c r="E7"/>
  <c r="H7"/>
  <c r="I7"/>
  <c r="N7" i="2"/>
  <c r="O7"/>
  <c r="Q7"/>
  <c r="I7"/>
  <c r="C7"/>
  <c r="B3" s="1"/>
  <c r="B2" s="1"/>
  <c r="N7" i="5"/>
  <c r="P7"/>
  <c r="Q7"/>
  <c r="S7"/>
  <c r="T7"/>
  <c r="V7"/>
  <c r="G7"/>
  <c r="H7"/>
  <c r="I7"/>
  <c r="P17" i="18"/>
  <c r="L7" i="20"/>
  <c r="Y7"/>
  <c r="Z7"/>
  <c r="AA7"/>
  <c r="AB7"/>
  <c r="AC7"/>
  <c r="AD7"/>
  <c r="AE7"/>
  <c r="AF7"/>
  <c r="B7" s="1"/>
  <c r="AA2" s="1"/>
  <c r="AG7"/>
  <c r="AI7"/>
  <c r="AI3"/>
  <c r="K3"/>
  <c r="K2" s="1"/>
  <c r="W3"/>
  <c r="W2" s="1"/>
  <c r="B11"/>
  <c r="B13"/>
  <c r="B15"/>
  <c r="B33"/>
  <c r="K3" i="19"/>
  <c r="Y7"/>
  <c r="Z7"/>
  <c r="B7" s="1"/>
  <c r="AA2" s="1"/>
  <c r="AA7"/>
  <c r="AB7"/>
  <c r="AC7"/>
  <c r="AD7"/>
  <c r="AE7"/>
  <c r="AF7"/>
  <c r="AG7"/>
  <c r="AI7"/>
  <c r="AI3" s="1"/>
  <c r="B11"/>
  <c r="B13"/>
  <c r="B15"/>
  <c r="B33"/>
  <c r="Y7" i="2"/>
  <c r="Z7"/>
  <c r="W3" s="1"/>
  <c r="W2" s="1"/>
  <c r="Y7" i="13"/>
  <c r="Y7" i="11"/>
  <c r="Z7"/>
  <c r="W3" s="1"/>
  <c r="W2" s="1"/>
  <c r="Y7" i="10"/>
  <c r="Z7" i="9"/>
  <c r="W3"/>
  <c r="Y7" i="14"/>
  <c r="Z7"/>
  <c r="W3" s="1"/>
  <c r="W2" s="1"/>
  <c r="W3" i="13"/>
  <c r="W2"/>
  <c r="Y7" i="12"/>
  <c r="W3"/>
  <c r="W2" s="1"/>
  <c r="W3" i="10"/>
  <c r="W2"/>
  <c r="W2" i="9"/>
  <c r="W3" i="8"/>
  <c r="W2" s="1"/>
  <c r="Y7" i="7"/>
  <c r="W3" s="1"/>
  <c r="W2" s="1"/>
  <c r="X7" i="5"/>
  <c r="X3" s="1"/>
  <c r="X2" s="1"/>
  <c r="Y7"/>
  <c r="Z7"/>
  <c r="B13" i="7"/>
  <c r="B13" i="10"/>
  <c r="B13" i="5"/>
  <c r="B13" i="2"/>
  <c r="B13" i="8"/>
  <c r="B13" i="9"/>
  <c r="B13" i="11"/>
  <c r="B13" i="12"/>
  <c r="B13" i="13"/>
  <c r="B13" i="14"/>
  <c r="Q17" i="18"/>
  <c r="AI7" i="14"/>
  <c r="AG7"/>
  <c r="AF7"/>
  <c r="AE7"/>
  <c r="AD7"/>
  <c r="AC7"/>
  <c r="AB7"/>
  <c r="AA7"/>
  <c r="L7"/>
  <c r="AI7" i="13"/>
  <c r="AG7"/>
  <c r="AF7"/>
  <c r="AE7"/>
  <c r="AD7"/>
  <c r="AC7"/>
  <c r="AB7"/>
  <c r="AA7"/>
  <c r="AI7" i="12"/>
  <c r="AG7"/>
  <c r="AF7"/>
  <c r="AD7"/>
  <c r="AC7"/>
  <c r="AB7"/>
  <c r="AA7"/>
  <c r="Z7"/>
  <c r="L7"/>
  <c r="AH7" i="11"/>
  <c r="AF7"/>
  <c r="AE7"/>
  <c r="AD7"/>
  <c r="AC7"/>
  <c r="AB7"/>
  <c r="AA7"/>
  <c r="AI7" i="10"/>
  <c r="AF7"/>
  <c r="AE7"/>
  <c r="AD7"/>
  <c r="AC7"/>
  <c r="AB7"/>
  <c r="AA7"/>
  <c r="Z7"/>
  <c r="L7"/>
  <c r="AH7" i="9"/>
  <c r="AF7"/>
  <c r="AE7"/>
  <c r="AD7"/>
  <c r="AC7"/>
  <c r="AB7"/>
  <c r="AA7"/>
  <c r="AI7" i="8"/>
  <c r="AG7"/>
  <c r="AF7"/>
  <c r="AE7"/>
  <c r="AD7"/>
  <c r="AC7"/>
  <c r="AB7"/>
  <c r="AA7"/>
  <c r="Z7"/>
  <c r="L7"/>
  <c r="AH7" i="7"/>
  <c r="AF7"/>
  <c r="AE7"/>
  <c r="AD7"/>
  <c r="AC7"/>
  <c r="AB7"/>
  <c r="AA7"/>
  <c r="Z7"/>
  <c r="AH7" i="2"/>
  <c r="AF7"/>
  <c r="AE7"/>
  <c r="AD7"/>
  <c r="AC7"/>
  <c r="AB7"/>
  <c r="AA7"/>
  <c r="L7"/>
  <c r="K7"/>
  <c r="AI7" i="5"/>
  <c r="AG7"/>
  <c r="AF7"/>
  <c r="AE7"/>
  <c r="AD7"/>
  <c r="AC7"/>
  <c r="AB7"/>
  <c r="AA7"/>
  <c r="AI3" i="8"/>
  <c r="AA3"/>
  <c r="B33"/>
  <c r="B11"/>
  <c r="B7"/>
  <c r="B11" i="5"/>
  <c r="B33" i="13"/>
  <c r="B11"/>
  <c r="Z7"/>
  <c r="B7"/>
  <c r="B33" i="12"/>
  <c r="B11"/>
  <c r="AE7"/>
  <c r="B7"/>
  <c r="B33" i="10"/>
  <c r="B11"/>
  <c r="B7"/>
  <c r="B33" i="5"/>
  <c r="B7" i="14"/>
  <c r="AB3" i="12"/>
  <c r="AB3" i="10"/>
  <c r="AB3" i="5"/>
  <c r="B7" i="7"/>
  <c r="AH3"/>
  <c r="AH2" s="1"/>
  <c r="AA3"/>
  <c r="AA2" s="1"/>
  <c r="K3"/>
  <c r="K2" s="1"/>
  <c r="AI3" i="14"/>
  <c r="AI1" s="1"/>
  <c r="AI3" i="13"/>
  <c r="AI1" s="1"/>
  <c r="B7" i="11"/>
  <c r="B7" i="9"/>
  <c r="AI3" i="12"/>
  <c r="AI1" s="1"/>
  <c r="B33" i="14"/>
  <c r="B11"/>
  <c r="K3"/>
  <c r="K2" s="1"/>
  <c r="AI2"/>
  <c r="AA2"/>
  <c r="AB3" i="13"/>
  <c r="AB2" s="1"/>
  <c r="K3"/>
  <c r="AI2"/>
  <c r="K2"/>
  <c r="K3" i="12"/>
  <c r="AI2"/>
  <c r="AB2"/>
  <c r="K2"/>
  <c r="B33" i="11"/>
  <c r="B11"/>
  <c r="AH3"/>
  <c r="K3"/>
  <c r="AH2"/>
  <c r="K2"/>
  <c r="AI3" i="10"/>
  <c r="K3"/>
  <c r="K2" s="1"/>
  <c r="AI2"/>
  <c r="AB2"/>
  <c r="B33" i="9"/>
  <c r="B11"/>
  <c r="AH3"/>
  <c r="K3"/>
  <c r="AH2"/>
  <c r="K2"/>
  <c r="K3" i="8"/>
  <c r="K2" s="1"/>
  <c r="AI2"/>
  <c r="AA2"/>
  <c r="B33" i="7"/>
  <c r="B11"/>
  <c r="AI3" i="5"/>
  <c r="B33" i="2"/>
  <c r="B11"/>
  <c r="B7"/>
  <c r="AH3"/>
  <c r="AH2"/>
  <c r="K3"/>
  <c r="K2"/>
  <c r="T9" i="18" l="1"/>
  <c r="U9" s="1"/>
  <c r="V9" s="1"/>
  <c r="P9"/>
  <c r="Q9" s="1"/>
  <c r="Z18"/>
  <c r="W18"/>
  <c r="W17"/>
  <c r="O12"/>
  <c r="T12" s="1"/>
  <c r="U12" s="1"/>
  <c r="V12" s="1"/>
  <c r="O14"/>
  <c r="O15"/>
  <c r="O19"/>
  <c r="O22"/>
  <c r="O24"/>
  <c r="O26"/>
  <c r="O30"/>
  <c r="O11"/>
  <c r="AI1" i="19"/>
  <c r="AI2"/>
  <c r="T5" i="18"/>
  <c r="U5" s="1"/>
  <c r="V5" s="1"/>
  <c r="P5"/>
  <c r="Q5" s="1"/>
  <c r="P12"/>
  <c r="Q12" s="1"/>
  <c r="T14"/>
  <c r="U14" s="1"/>
  <c r="V14" s="1"/>
  <c r="P14"/>
  <c r="Q14" s="1"/>
  <c r="K2" i="19"/>
  <c r="AI1" i="20"/>
  <c r="W3" i="19"/>
  <c r="W2" s="1"/>
  <c r="N3" i="2"/>
  <c r="N2" s="1"/>
  <c r="N3" i="8"/>
  <c r="N2" s="1"/>
  <c r="N3" i="9"/>
  <c r="N2" s="1"/>
  <c r="N3" i="12"/>
  <c r="N2" s="1"/>
  <c r="O6" i="18"/>
  <c r="O8"/>
  <c r="O13"/>
  <c r="O16"/>
  <c r="O25"/>
  <c r="B3" i="19"/>
  <c r="B2" s="1"/>
  <c r="B3" i="5"/>
  <c r="B2" s="1"/>
  <c r="B3" i="10"/>
  <c r="B2" s="1"/>
  <c r="B3" i="11"/>
  <c r="B2" s="1"/>
  <c r="N3" i="13"/>
  <c r="N2" s="1"/>
  <c r="C7" i="18"/>
  <c r="O7" s="1"/>
  <c r="C4"/>
  <c r="O4" s="1"/>
  <c r="AI2" i="20"/>
  <c r="B7" i="5"/>
  <c r="AB2" s="1"/>
  <c r="N3"/>
  <c r="N2" s="1"/>
  <c r="N3" i="7"/>
  <c r="N2" s="1"/>
  <c r="B3" i="8"/>
  <c r="B2" s="1"/>
  <c r="B3" i="9"/>
  <c r="B2" s="1"/>
  <c r="B3" i="14"/>
  <c r="B2" s="1"/>
  <c r="X18" i="18"/>
  <c r="Y18"/>
  <c r="B3" i="7"/>
  <c r="B2" s="1"/>
  <c r="N3" i="10"/>
  <c r="N2" s="1"/>
  <c r="N3" i="11"/>
  <c r="N2" s="1"/>
  <c r="N3" i="19"/>
  <c r="N2" s="1"/>
  <c r="O3" i="18"/>
  <c r="O10"/>
  <c r="O20"/>
  <c r="O23"/>
  <c r="O27"/>
  <c r="O29"/>
  <c r="O31"/>
  <c r="B3" i="13"/>
  <c r="B2" s="1"/>
  <c r="O21" i="18"/>
  <c r="O28"/>
  <c r="B3" i="12"/>
  <c r="B2" s="1"/>
  <c r="B3" i="20"/>
  <c r="B2" s="1"/>
  <c r="P11" i="18" l="1"/>
  <c r="Q11" s="1"/>
  <c r="T11"/>
  <c r="U11" s="1"/>
  <c r="V11" s="1"/>
  <c r="P26"/>
  <c r="Q26" s="1"/>
  <c r="T26"/>
  <c r="U26" s="1"/>
  <c r="V26" s="1"/>
  <c r="T22"/>
  <c r="U22" s="1"/>
  <c r="V22" s="1"/>
  <c r="P22"/>
  <c r="Q22" s="1"/>
  <c r="P30"/>
  <c r="Q30" s="1"/>
  <c r="T30"/>
  <c r="U30" s="1"/>
  <c r="V30" s="1"/>
  <c r="T24"/>
  <c r="U24" s="1"/>
  <c r="V24" s="1"/>
  <c r="P24"/>
  <c r="Q24" s="1"/>
  <c r="T19"/>
  <c r="U19" s="1"/>
  <c r="V19" s="1"/>
  <c r="P19"/>
  <c r="Q19" s="1"/>
  <c r="X9"/>
  <c r="Z9"/>
  <c r="W9"/>
  <c r="Y9"/>
  <c r="T15"/>
  <c r="U15" s="1"/>
  <c r="V15" s="1"/>
  <c r="P15"/>
  <c r="Q15" s="1"/>
  <c r="P28"/>
  <c r="Q28" s="1"/>
  <c r="T28"/>
  <c r="U28" s="1"/>
  <c r="V28" s="1"/>
  <c r="T29"/>
  <c r="U29" s="1"/>
  <c r="V29" s="1"/>
  <c r="P29"/>
  <c r="Q29" s="1"/>
  <c r="T23"/>
  <c r="U23" s="1"/>
  <c r="V23" s="1"/>
  <c r="P23"/>
  <c r="Q23" s="1"/>
  <c r="T10"/>
  <c r="U10" s="1"/>
  <c r="V10" s="1"/>
  <c r="P10"/>
  <c r="Q10" s="1"/>
  <c r="T4"/>
  <c r="U4" s="1"/>
  <c r="V4" s="1"/>
  <c r="P4"/>
  <c r="Q4" s="1"/>
  <c r="T25"/>
  <c r="U25" s="1"/>
  <c r="V25" s="1"/>
  <c r="P25"/>
  <c r="Q25" s="1"/>
  <c r="T13"/>
  <c r="U13" s="1"/>
  <c r="V13" s="1"/>
  <c r="P13"/>
  <c r="Q13" s="1"/>
  <c r="T6"/>
  <c r="U6" s="1"/>
  <c r="V6" s="1"/>
  <c r="P6"/>
  <c r="Q6" s="1"/>
  <c r="P21"/>
  <c r="Q21" s="1"/>
  <c r="T21"/>
  <c r="U21" s="1"/>
  <c r="V21" s="1"/>
  <c r="T31"/>
  <c r="U31" s="1"/>
  <c r="V31" s="1"/>
  <c r="P31"/>
  <c r="T27"/>
  <c r="U27" s="1"/>
  <c r="V27" s="1"/>
  <c r="P27"/>
  <c r="Q27" s="1"/>
  <c r="P20"/>
  <c r="Q20" s="1"/>
  <c r="T20"/>
  <c r="U20" s="1"/>
  <c r="V20" s="1"/>
  <c r="T3"/>
  <c r="U3" s="1"/>
  <c r="V3" s="1"/>
  <c r="P3"/>
  <c r="Q3" s="1"/>
  <c r="P7"/>
  <c r="Q7" s="1"/>
  <c r="T7"/>
  <c r="U7" s="1"/>
  <c r="V7" s="1"/>
  <c r="T16"/>
  <c r="U16" s="1"/>
  <c r="V16" s="1"/>
  <c r="P16"/>
  <c r="Q16" s="1"/>
  <c r="T8"/>
  <c r="U8" s="1"/>
  <c r="V8" s="1"/>
  <c r="P8"/>
  <c r="Q8" s="1"/>
  <c r="Y14"/>
  <c r="X14"/>
  <c r="Z14"/>
  <c r="W14"/>
  <c r="Y12"/>
  <c r="X12"/>
  <c r="Z12"/>
  <c r="W12"/>
  <c r="W5"/>
  <c r="Z5"/>
  <c r="Y5"/>
  <c r="X5"/>
  <c r="K2" i="5"/>
  <c r="AI2"/>
  <c r="Z26" i="18" l="1"/>
  <c r="X26"/>
  <c r="Y26"/>
  <c r="W26"/>
  <c r="W11"/>
  <c r="Z11"/>
  <c r="Y11"/>
  <c r="X11"/>
  <c r="Z15"/>
  <c r="Y15"/>
  <c r="X15"/>
  <c r="W15"/>
  <c r="Z19"/>
  <c r="Y19"/>
  <c r="W19"/>
  <c r="X19"/>
  <c r="Z24"/>
  <c r="X24"/>
  <c r="Y24"/>
  <c r="W24"/>
  <c r="Z22"/>
  <c r="X22"/>
  <c r="Y22"/>
  <c r="W22"/>
  <c r="Y7"/>
  <c r="X7"/>
  <c r="W7"/>
  <c r="Z7"/>
  <c r="Z20"/>
  <c r="Y20"/>
  <c r="X20"/>
  <c r="W20"/>
  <c r="Z21"/>
  <c r="W21"/>
  <c r="Y21"/>
  <c r="X21"/>
  <c r="Z28"/>
  <c r="Y28"/>
  <c r="X28"/>
  <c r="W28"/>
  <c r="W8"/>
  <c r="Z8"/>
  <c r="Y8"/>
  <c r="X8"/>
  <c r="Y16"/>
  <c r="X16"/>
  <c r="Z16"/>
  <c r="W16"/>
  <c r="W3"/>
  <c r="Z3"/>
  <c r="X3"/>
  <c r="Z27"/>
  <c r="W27"/>
  <c r="Y27"/>
  <c r="X27"/>
  <c r="Z31"/>
  <c r="Y31"/>
  <c r="X31"/>
  <c r="W31"/>
  <c r="Y6"/>
  <c r="X6"/>
  <c r="Z6"/>
  <c r="W6"/>
  <c r="W13"/>
  <c r="Z13"/>
  <c r="Y13"/>
  <c r="X13"/>
  <c r="Z25"/>
  <c r="W25"/>
  <c r="Y25"/>
  <c r="X25"/>
  <c r="Y4"/>
  <c r="X4"/>
  <c r="Z4"/>
  <c r="W4"/>
  <c r="W10"/>
  <c r="Z10"/>
  <c r="Y10"/>
  <c r="X10"/>
  <c r="Z23"/>
  <c r="W23"/>
  <c r="Y23"/>
  <c r="X23"/>
  <c r="Z29"/>
  <c r="W29"/>
  <c r="Y29"/>
  <c r="X29"/>
  <c r="Y32" l="1"/>
  <c r="Z32"/>
  <c r="X32"/>
  <c r="W32"/>
  <c r="W33" s="1"/>
  <c r="X33" l="1"/>
  <c r="Y33"/>
</calcChain>
</file>

<file path=xl/sharedStrings.xml><?xml version="1.0" encoding="utf-8"?>
<sst xmlns="http://schemas.openxmlformats.org/spreadsheetml/2006/main" count="922" uniqueCount="148">
  <si>
    <t>Калорийность</t>
  </si>
  <si>
    <t>Завтрак</t>
  </si>
  <si>
    <t>Хлеб пшеничный</t>
  </si>
  <si>
    <t>Хлеб ржаной</t>
  </si>
  <si>
    <t>Процент от суточного рациона</t>
  </si>
  <si>
    <t>Калорийность приема</t>
  </si>
  <si>
    <t>2 Зав</t>
  </si>
  <si>
    <t>Обед</t>
  </si>
  <si>
    <t>Полд</t>
  </si>
  <si>
    <t>Ужин</t>
  </si>
  <si>
    <t>2 У</t>
  </si>
  <si>
    <t>Итого</t>
  </si>
  <si>
    <t>Кофейный напиток</t>
  </si>
  <si>
    <t>Сок</t>
  </si>
  <si>
    <t>Яйцо</t>
  </si>
  <si>
    <t>Выход – вес порций</t>
  </si>
  <si>
    <t>Мясо говядина</t>
  </si>
  <si>
    <t>Мясо свинина</t>
  </si>
  <si>
    <t>Птица</t>
  </si>
  <si>
    <t>Субпродукты</t>
  </si>
  <si>
    <t>Колбаса вареная</t>
  </si>
  <si>
    <t>Колбаса п/к</t>
  </si>
  <si>
    <t>Рыба</t>
  </si>
  <si>
    <t>Масло сливочное</t>
  </si>
  <si>
    <t>Масло растительное</t>
  </si>
  <si>
    <t>Сметана</t>
  </si>
  <si>
    <t>Творог</t>
  </si>
  <si>
    <t>Сыр</t>
  </si>
  <si>
    <t>Мука пшеничная</t>
  </si>
  <si>
    <t>Кисель</t>
  </si>
  <si>
    <t>Крупа перловая</t>
  </si>
  <si>
    <t>Крупа гречневая</t>
  </si>
  <si>
    <t>Геркулес</t>
  </si>
  <si>
    <t>Крупа манная</t>
  </si>
  <si>
    <t>Рис</t>
  </si>
  <si>
    <t>Пшено</t>
  </si>
  <si>
    <t>Макароны</t>
  </si>
  <si>
    <t>Горох</t>
  </si>
  <si>
    <t>Сахар</t>
  </si>
  <si>
    <t>Повидло</t>
  </si>
  <si>
    <t>Кондитерские</t>
  </si>
  <si>
    <t>Фрукты сухие</t>
  </si>
  <si>
    <t>Фрукты свежие</t>
  </si>
  <si>
    <t>Картофель</t>
  </si>
  <si>
    <t>Капуста</t>
  </si>
  <si>
    <t>Морковь</t>
  </si>
  <si>
    <t>Лук</t>
  </si>
  <si>
    <t>Огурцы</t>
  </si>
  <si>
    <t>Помидоры</t>
  </si>
  <si>
    <t>Свекла</t>
  </si>
  <si>
    <t>Кофе</t>
  </si>
  <si>
    <t>Чай</t>
  </si>
  <si>
    <t>Томат-паста</t>
  </si>
  <si>
    <t>Какао</t>
  </si>
  <si>
    <t>Молоко</t>
  </si>
  <si>
    <t>Таблица суточного набора продуктов по дням.</t>
  </si>
  <si>
    <t>cуточ. норма</t>
  </si>
  <si>
    <t>Среднее за день</t>
  </si>
  <si>
    <t>Откл.от норм.</t>
  </si>
  <si>
    <t>Всего за месяц</t>
  </si>
  <si>
    <t>Ср. за день брутто</t>
  </si>
  <si>
    <t>Ср. за день нетто</t>
  </si>
  <si>
    <t>Белки</t>
  </si>
  <si>
    <t>Жиры</t>
  </si>
  <si>
    <t>Углеводы</t>
  </si>
  <si>
    <t>Энер. ценность ккал</t>
  </si>
  <si>
    <t>Мясо</t>
  </si>
  <si>
    <t>Рыба (сельдь)</t>
  </si>
  <si>
    <t>Сельдь соленая</t>
  </si>
  <si>
    <t>Мука</t>
  </si>
  <si>
    <t>Крупа, бобовые, макаронные изделия</t>
  </si>
  <si>
    <t>Кондитерские изделия</t>
  </si>
  <si>
    <t>Овощи, зелень</t>
  </si>
  <si>
    <t>Кофе (кофейный напиток)</t>
  </si>
  <si>
    <t>ИТОГО:</t>
  </si>
  <si>
    <t>Норма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</si>
  <si>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</si>
  <si>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</si>
  <si>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</si>
  <si>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</si>
  <si>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</si>
  <si>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</si>
  <si>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</si>
  <si>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</si>
  <si>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</si>
  <si>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</si>
  <si>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Всего за 12 дней</t>
  </si>
  <si>
    <t xml:space="preserve"> Птица</t>
  </si>
  <si>
    <t>Колбаса</t>
  </si>
  <si>
    <t>20-25</t>
  </si>
  <si>
    <t>30-35</t>
  </si>
  <si>
    <t>Чай с сахаром № 685</t>
  </si>
  <si>
    <t>Сосиски отварные № 413</t>
  </si>
  <si>
    <t>Макароны отварные 332, 516</t>
  </si>
  <si>
    <t>Суп картофельный с бобовыми № 139</t>
  </si>
  <si>
    <t>Салат из моркови с яблоками № 49</t>
  </si>
  <si>
    <t>Кофейный напиток № 692</t>
  </si>
  <si>
    <t>Чай с лимоном № 686</t>
  </si>
  <si>
    <t>Компот из свежих яблок № 631</t>
  </si>
  <si>
    <t>Котлеты рубленые № 451</t>
  </si>
  <si>
    <t>Картофельное пюре № 520</t>
  </si>
  <si>
    <t>Суп овощной № 135</t>
  </si>
  <si>
    <t>Хлеб ржано-пшеничный</t>
  </si>
  <si>
    <t>Салат из белокочанной капусты № 43</t>
  </si>
  <si>
    <t>Рис отварной № 511</t>
  </si>
  <si>
    <t>Курица отварная № 487</t>
  </si>
  <si>
    <t>Кисель из концентрата № 648</t>
  </si>
  <si>
    <t>Яйцо вареное № 337</t>
  </si>
  <si>
    <t>Компот из изюма № 638</t>
  </si>
  <si>
    <t>Рассольник ленинградский № 132</t>
  </si>
  <si>
    <t>Винегрет овощной с растительным маслом № 71</t>
  </si>
  <si>
    <t>Крупа, бобовые</t>
  </si>
  <si>
    <t>Макароные изделия</t>
  </si>
  <si>
    <t>Соки</t>
  </si>
  <si>
    <t>Кисломолочные</t>
  </si>
  <si>
    <t>Кисломолочные продукты</t>
  </si>
  <si>
    <t>Салат витаминный (II вариант) № 40</t>
  </si>
  <si>
    <t>Помидоры (Перец)</t>
  </si>
  <si>
    <t>Рыбы тушеная в томате с совощами № 374</t>
  </si>
  <si>
    <t>Вареники ленивые № 354-355</t>
  </si>
  <si>
    <t>Борщ из капусты и картофеля № 110</t>
  </si>
  <si>
    <t>Фрикадельки из говядины № 470</t>
  </si>
  <si>
    <t>Суп-лапша домашняя № 148</t>
  </si>
  <si>
    <t>Котлеты по-хлыновски № 454</t>
  </si>
  <si>
    <t>Рыба отварная № 369</t>
  </si>
  <si>
    <t>Тефтели из говядины № 462</t>
  </si>
  <si>
    <t>Запеканка из творога№ 366</t>
  </si>
  <si>
    <t>Плов из птицы № 492</t>
  </si>
  <si>
    <t>Суп с макаронными изделиями и картофелем № 143</t>
  </si>
  <si>
    <t>Булоча домашняя № 769</t>
  </si>
  <si>
    <t>Капуста тушеная № 534</t>
  </si>
  <si>
    <t>Пшено (крупа пшеничная)</t>
  </si>
  <si>
    <t>Суп картофельный с рыбными фрикадельками № 142</t>
  </si>
  <si>
    <t>Рагу овощное № 224</t>
  </si>
  <si>
    <t>Сыр порциями № 97</t>
  </si>
  <si>
    <t>Омлет натуральный № 340</t>
  </si>
  <si>
    <t>Фрукты</t>
  </si>
  <si>
    <t>Суп молочный с крупой № 161</t>
  </si>
  <si>
    <t>Каша пшеничная вязкая № 311</t>
  </si>
  <si>
    <t>Каша манная жидкая № 311</t>
  </si>
  <si>
    <t>Каша рисовая жидкая № 311</t>
  </si>
  <si>
    <t>Каша гречневая вязкая № 302</t>
  </si>
  <si>
    <t>Какао с молоком № 693</t>
  </si>
  <si>
    <t>Кисломолочный напиток № 698</t>
  </si>
  <si>
    <t>Фрикадельки рыбные № 397</t>
  </si>
  <si>
    <t>Сельдь с луком № 89</t>
  </si>
  <si>
    <t>Гуляш говяжий № 437</t>
  </si>
  <si>
    <t xml:space="preserve"> Кисломолочный продукт № 698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</si>
</sst>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right" vertical="top" wrapText="1"/>
    </xf>
    <xf numFmtId="0" fontId="6" fillId="2" borderId="1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/>
    <xf numFmtId="164" fontId="2" fillId="2" borderId="13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textRotation="90" wrapText="1"/>
    </xf>
    <xf numFmtId="0" fontId="0" fillId="0" borderId="15" xfId="0" applyBorder="1"/>
    <xf numFmtId="0" fontId="8" fillId="0" borderId="1" xfId="0" applyFont="1" applyBorder="1" applyAlignment="1">
      <alignment horizontal="center" vertical="center" textRotation="90"/>
    </xf>
    <xf numFmtId="164" fontId="2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9" fillId="0" borderId="1" xfId="0" applyFont="1" applyBorder="1"/>
    <xf numFmtId="0" fontId="9" fillId="3" borderId="1" xfId="0" applyFont="1" applyFill="1" applyBorder="1"/>
    <xf numFmtId="0" fontId="9" fillId="3" borderId="16" xfId="0" applyFont="1" applyFill="1" applyBorder="1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center" textRotation="90" wrapText="1"/>
    </xf>
    <xf numFmtId="164" fontId="10" fillId="0" borderId="0" xfId="0" applyNumberFormat="1" applyFont="1" applyAlignment="1">
      <alignment horizontal="center" vertical="top"/>
    </xf>
    <xf numFmtId="0" fontId="9" fillId="0" borderId="0" xfId="0" applyFont="1"/>
    <xf numFmtId="164" fontId="2" fillId="2" borderId="17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3" borderId="1" xfId="0" applyFont="1" applyFill="1" applyBorder="1"/>
    <xf numFmtId="0" fontId="11" fillId="0" borderId="9" xfId="0" applyFont="1" applyBorder="1" applyAlignment="1">
      <alignment vertical="top" wrapText="1"/>
    </xf>
    <xf numFmtId="2" fontId="2" fillId="2" borderId="3" xfId="0" applyNumberFormat="1" applyFont="1" applyFill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2" fontId="2" fillId="3" borderId="3" xfId="0" applyNumberFormat="1" applyFont="1" applyFill="1" applyBorder="1" applyAlignment="1">
      <alignment vertical="top" wrapText="1"/>
    </xf>
    <xf numFmtId="2" fontId="2" fillId="0" borderId="3" xfId="0" applyNumberFormat="1" applyFont="1" applyFill="1" applyBorder="1" applyAlignment="1">
      <alignment vertical="top" wrapText="1"/>
    </xf>
    <xf numFmtId="2" fontId="3" fillId="2" borderId="10" xfId="0" applyNumberFormat="1" applyFont="1" applyFill="1" applyBorder="1" applyAlignment="1" applyProtection="1">
      <alignment horizontal="center" vertical="top" wrapText="1"/>
      <protection locked="0"/>
    </xf>
    <xf numFmtId="2" fontId="6" fillId="2" borderId="10" xfId="0" applyNumberFormat="1" applyFont="1" applyFill="1" applyBorder="1" applyAlignment="1">
      <alignment horizontal="center" vertical="top" wrapText="1"/>
    </xf>
    <xf numFmtId="2" fontId="12" fillId="2" borderId="10" xfId="0" applyNumberFormat="1" applyFont="1" applyFill="1" applyBorder="1" applyAlignment="1" applyProtection="1">
      <alignment horizontal="center" vertical="top" wrapText="1"/>
      <protection locked="0"/>
    </xf>
    <xf numFmtId="2" fontId="13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" xfId="0" applyFont="1" applyBorder="1" applyAlignment="1">
      <alignment horizontal="center" vertical="center" textRotation="90" wrapText="1"/>
    </xf>
    <xf numFmtId="164" fontId="2" fillId="2" borderId="13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zoomScale="75" workbookViewId="0">
      <selection activeCell="Q5" sqref="Q5"/>
    </sheetView>
  </sheetViews>
  <sheetFormatPr defaultRowHeight="12.75"/>
  <cols>
    <col min="1" max="1" width="25" customWidth="1"/>
    <col min="2" max="2" width="6.85546875" customWidth="1"/>
    <col min="3" max="3" width="6.28515625" customWidth="1"/>
    <col min="4" max="4" width="5.5703125" customWidth="1"/>
    <col min="5" max="6" width="5.42578125" customWidth="1"/>
    <col min="7" max="7" width="6.140625" customWidth="1"/>
    <col min="8" max="8" width="4.28515625" customWidth="1"/>
    <col min="9" max="9" width="4.5703125" customWidth="1"/>
    <col min="10" max="10" width="0.7109375" customWidth="1"/>
    <col min="11" max="11" width="7.28515625" customWidth="1"/>
    <col min="12" max="12" width="5.7109375" customWidth="1"/>
    <col min="13" max="13" width="0.7109375" customWidth="1"/>
    <col min="14" max="14" width="5.28515625" customWidth="1"/>
    <col min="15" max="16" width="5.42578125" customWidth="1"/>
    <col min="17" max="18" width="6.5703125" customWidth="1"/>
    <col min="19" max="21" width="5.7109375" customWidth="1"/>
    <col min="22" max="22" width="0.28515625" customWidth="1"/>
    <col min="23" max="23" width="0.42578125" customWidth="1"/>
    <col min="24" max="25" width="6.28515625" customWidth="1"/>
    <col min="26" max="26" width="5.28515625" customWidth="1"/>
    <col min="27" max="27" width="5.5703125" customWidth="1"/>
    <col min="28" max="28" width="5.42578125" customWidth="1"/>
    <col min="29" max="29" width="5.85546875" customWidth="1"/>
    <col min="30" max="30" width="6" customWidth="1"/>
    <col min="31" max="32" width="6.140625" customWidth="1"/>
    <col min="33" max="33" width="7.140625" customWidth="1"/>
    <col min="34" max="34" width="0.85546875" customWidth="1"/>
    <col min="35" max="35" width="6" customWidth="1"/>
  </cols>
  <sheetData>
    <row r="1" spans="1:37" ht="13.5" thickBot="1">
      <c r="A1" s="1" t="s">
        <v>75</v>
      </c>
      <c r="B1" s="83" t="s">
        <v>89</v>
      </c>
      <c r="C1" s="82"/>
      <c r="D1" s="82"/>
      <c r="E1" s="82"/>
      <c r="F1" s="82"/>
      <c r="G1" s="82"/>
      <c r="H1" s="82"/>
      <c r="I1" s="82"/>
      <c r="J1" s="84"/>
      <c r="K1" s="83"/>
      <c r="L1" s="84"/>
      <c r="M1" s="39"/>
      <c r="N1" s="83" t="s">
        <v>90</v>
      </c>
      <c r="O1" s="82"/>
      <c r="P1" s="82"/>
      <c r="Q1" s="82"/>
      <c r="R1" s="82"/>
      <c r="S1" s="82"/>
      <c r="T1" s="82"/>
      <c r="U1" s="82"/>
      <c r="V1" s="82"/>
      <c r="W1" s="84"/>
      <c r="X1" s="83">
        <v>15</v>
      </c>
      <c r="Y1" s="82"/>
      <c r="Z1" s="39"/>
      <c r="AA1" s="38"/>
      <c r="AB1" s="37"/>
      <c r="AC1" s="82"/>
      <c r="AD1" s="82"/>
      <c r="AE1" s="82"/>
      <c r="AF1" s="82"/>
      <c r="AG1" s="82"/>
      <c r="AH1" s="82"/>
      <c r="AI1" s="82"/>
    </row>
    <row r="2" spans="1:37" ht="26.25" thickBot="1">
      <c r="A2" s="1" t="s">
        <v>4</v>
      </c>
      <c r="B2" s="77">
        <f>B3*100/2350</f>
        <v>25.552489361702129</v>
      </c>
      <c r="C2" s="73"/>
      <c r="D2" s="73"/>
      <c r="E2" s="73"/>
      <c r="F2" s="73"/>
      <c r="G2" s="73"/>
      <c r="H2" s="73"/>
      <c r="I2" s="73"/>
      <c r="J2" s="78"/>
      <c r="K2" s="77">
        <f>K3*100/B7</f>
        <v>0</v>
      </c>
      <c r="L2" s="78"/>
      <c r="M2" s="10"/>
      <c r="N2" s="77">
        <f>N3*100/2350</f>
        <v>33.897852765957445</v>
      </c>
      <c r="O2" s="73"/>
      <c r="P2" s="73"/>
      <c r="Q2" s="73"/>
      <c r="R2" s="73"/>
      <c r="S2" s="73"/>
      <c r="T2" s="73"/>
      <c r="U2" s="73"/>
      <c r="V2" s="73"/>
      <c r="W2" s="78"/>
      <c r="X2" s="77">
        <f>X3*100/1970</f>
        <v>0</v>
      </c>
      <c r="Y2" s="73"/>
      <c r="Z2" s="10"/>
      <c r="AA2" s="9"/>
      <c r="AB2" s="73">
        <f>AB3*100/B7</f>
        <v>0</v>
      </c>
      <c r="AC2" s="73"/>
      <c r="AD2" s="73"/>
      <c r="AE2" s="73"/>
      <c r="AF2" s="73"/>
      <c r="AG2" s="73"/>
      <c r="AH2" s="73"/>
      <c r="AI2" s="10">
        <f>AI3*100/B7</f>
        <v>0</v>
      </c>
    </row>
    <row r="3" spans="1:37" ht="13.5" thickBot="1">
      <c r="A3" s="2" t="s">
        <v>5</v>
      </c>
      <c r="B3" s="74">
        <f>C7+D7+E7+F7+G7+H7+I7+J7</f>
        <v>600.48350000000005</v>
      </c>
      <c r="C3" s="75"/>
      <c r="D3" s="75"/>
      <c r="E3" s="75"/>
      <c r="F3" s="75"/>
      <c r="G3" s="75"/>
      <c r="H3" s="75"/>
      <c r="I3" s="75"/>
      <c r="J3" s="76"/>
      <c r="K3" s="74">
        <f>K7+L7</f>
        <v>0</v>
      </c>
      <c r="L3" s="76"/>
      <c r="M3" s="11"/>
      <c r="N3" s="77">
        <f>N7+O7+P7+Q7+R7+S7+T7+U7+V7+W7</f>
        <v>796.59954000000005</v>
      </c>
      <c r="O3" s="75"/>
      <c r="P3" s="75"/>
      <c r="Q3" s="75"/>
      <c r="R3" s="75"/>
      <c r="S3" s="75"/>
      <c r="T3" s="75"/>
      <c r="U3" s="75"/>
      <c r="V3" s="75"/>
      <c r="W3" s="76"/>
      <c r="X3" s="77">
        <f>X7+Y7+Z7</f>
        <v>0</v>
      </c>
      <c r="Y3" s="75"/>
      <c r="Z3" s="11"/>
      <c r="AA3" s="12"/>
      <c r="AB3" s="75">
        <f>AA7+AB7+AC7+AD7+AE7+AF7</f>
        <v>0</v>
      </c>
      <c r="AC3" s="75"/>
      <c r="AD3" s="75"/>
      <c r="AE3" s="75"/>
      <c r="AF3" s="75"/>
      <c r="AG3" s="75"/>
      <c r="AH3" s="75"/>
      <c r="AI3" s="11">
        <f>AI7</f>
        <v>0</v>
      </c>
    </row>
    <row r="4" spans="1:37" ht="14.25" customHeight="1" thickBot="1">
      <c r="A4" s="2"/>
      <c r="B4" s="3"/>
      <c r="C4" s="79" t="s">
        <v>1</v>
      </c>
      <c r="D4" s="80"/>
      <c r="E4" s="80"/>
      <c r="F4" s="80"/>
      <c r="G4" s="80"/>
      <c r="H4" s="80"/>
      <c r="I4" s="80"/>
      <c r="J4" s="81"/>
      <c r="K4" s="79" t="s">
        <v>6</v>
      </c>
      <c r="L4" s="81"/>
      <c r="M4" s="3"/>
      <c r="N4" s="79" t="s">
        <v>7</v>
      </c>
      <c r="O4" s="80"/>
      <c r="P4" s="80"/>
      <c r="Q4" s="80"/>
      <c r="R4" s="80"/>
      <c r="S4" s="80"/>
      <c r="T4" s="80"/>
      <c r="U4" s="80"/>
      <c r="V4" s="80"/>
      <c r="W4" s="81"/>
      <c r="X4" s="79" t="s">
        <v>8</v>
      </c>
      <c r="Y4" s="80"/>
      <c r="Z4" s="3"/>
      <c r="AA4" s="79" t="s">
        <v>9</v>
      </c>
      <c r="AB4" s="80"/>
      <c r="AC4" s="80"/>
      <c r="AD4" s="80"/>
      <c r="AE4" s="80"/>
      <c r="AF4" s="80"/>
      <c r="AG4" s="80"/>
      <c r="AH4" s="80"/>
      <c r="AI4" s="3" t="s">
        <v>10</v>
      </c>
    </row>
    <row r="5" spans="1:37" ht="136.5" customHeight="1" thickBot="1">
      <c r="A5" s="2" t="s">
        <v>76</v>
      </c>
      <c r="B5" s="5" t="s">
        <v>11</v>
      </c>
      <c r="C5" s="72" t="s">
        <v>141</v>
      </c>
      <c r="D5" s="72" t="s">
        <v>147</v>
      </c>
      <c r="E5" s="72" t="s">
        <v>129</v>
      </c>
      <c r="F5" s="72" t="s">
        <v>108</v>
      </c>
      <c r="G5" s="5"/>
      <c r="H5" s="5"/>
      <c r="I5" s="5"/>
      <c r="J5" s="5"/>
      <c r="K5" s="5"/>
      <c r="L5" s="5"/>
      <c r="M5" s="5"/>
      <c r="N5" s="72" t="s">
        <v>95</v>
      </c>
      <c r="O5" s="72" t="s">
        <v>94</v>
      </c>
      <c r="P5" s="72" t="s">
        <v>92</v>
      </c>
      <c r="Q5" s="72" t="s">
        <v>130</v>
      </c>
      <c r="R5" s="5" t="s">
        <v>13</v>
      </c>
      <c r="S5" s="5" t="s">
        <v>2</v>
      </c>
      <c r="T5" s="5" t="s">
        <v>3</v>
      </c>
      <c r="U5" s="5" t="s">
        <v>71</v>
      </c>
      <c r="V5" s="5"/>
      <c r="W5" s="5"/>
      <c r="X5" s="5"/>
      <c r="Y5" s="5"/>
      <c r="Z5" s="5"/>
      <c r="AA5" s="5"/>
      <c r="AB5" s="56"/>
      <c r="AC5" s="5"/>
      <c r="AD5" s="5"/>
      <c r="AE5" s="5"/>
      <c r="AF5" s="5"/>
      <c r="AG5" s="5"/>
      <c r="AH5" s="49"/>
      <c r="AI5" s="5"/>
      <c r="AK5" s="44"/>
    </row>
    <row r="6" spans="1:37" ht="13.5" thickBot="1">
      <c r="A6" s="2" t="s">
        <v>15</v>
      </c>
      <c r="B6" s="24"/>
      <c r="C6" s="4">
        <v>150</v>
      </c>
      <c r="D6" s="4">
        <v>175</v>
      </c>
      <c r="E6" s="4">
        <v>50</v>
      </c>
      <c r="F6" s="4">
        <v>200</v>
      </c>
      <c r="G6" s="4"/>
      <c r="H6" s="4"/>
      <c r="I6" s="4"/>
      <c r="J6" s="28"/>
      <c r="K6" s="4"/>
      <c r="L6" s="4"/>
      <c r="M6" s="28"/>
      <c r="N6" s="4">
        <v>60</v>
      </c>
      <c r="O6" s="4">
        <v>200</v>
      </c>
      <c r="P6" s="6">
        <v>50</v>
      </c>
      <c r="Q6" s="4">
        <v>150</v>
      </c>
      <c r="R6" s="4">
        <v>200</v>
      </c>
      <c r="S6" s="4">
        <v>50</v>
      </c>
      <c r="T6" s="4">
        <v>40</v>
      </c>
      <c r="U6" s="4">
        <v>10</v>
      </c>
      <c r="V6" s="4"/>
      <c r="W6" s="28"/>
      <c r="X6" s="4"/>
      <c r="Y6" s="4"/>
      <c r="Z6" s="24"/>
      <c r="AA6" s="4"/>
      <c r="AB6" s="4"/>
      <c r="AC6" s="4"/>
      <c r="AD6" s="4"/>
      <c r="AE6" s="4"/>
      <c r="AF6" s="4"/>
      <c r="AG6" s="4"/>
      <c r="AH6" s="31"/>
      <c r="AI6" s="6"/>
      <c r="AK6" s="45"/>
    </row>
    <row r="7" spans="1:37" ht="13.5" thickBot="1">
      <c r="A7" s="2" t="s">
        <v>0</v>
      </c>
      <c r="B7" s="8">
        <f t="shared" ref="B7:B51" si="0">C7+D7+E7+F7+G7+H7+I7+J7+K7+L7+M7+N7+O7+P7+Q7+R7+S7+T7+U7+V7+W7+X7+Y7+Z7+AA7+AB7+AC7+AD7+AE7+AF7+AG7+AI7</f>
        <v>1397.0830400000002</v>
      </c>
      <c r="C7" s="8">
        <f t="shared" ref="C7:I7" si="1">C8*1.1928+C9*1.1928+C10*1.3875+C11*1.1928+C12*3.01+C13*3.01+C14*0.783+C15*7.09+C16*8.99+C17*0.52+C18*1.18+C19*1.56+C20*3.6+C21*1.3659+C22*3.34+C23*3.68+C24*3.314+C25*3.314+C26*3.314+C27*3.314+C28*3.314+C29*3.314+C30*3.314+C31*3.314+C32*3.74+C34*3.558+C35*0.466+C36*0.396+C37*0.56+C38*0.2744+C39*0.2744+C40*0.2744+C41*0.2744+C42*0.2744+C43*0.2744+C44*2.26+C45*1.81+C46*3.78+C49*0.31+C50*3.69</f>
        <v>222.125</v>
      </c>
      <c r="D7" s="8">
        <f>D8*1.1928+D9*1.1928+D10*1.3875+D11*1.1928+D12*3.01+D13*3.01+D14*0.783+D15*7.09+D16*8.99+D17*0.52+D18*1.18+D19*1.56+D20*3.6+D21*1.3659+D22*3.34+D23*3.68+D24*3.314+D25*3.314+D26*3.314+D27*3.314+D28*3.314+D29*3.314+D30*3.314+D31*3.314+D32*3.74+D34*3.558+D35*0.466+D36*0.396+D37*0.56+D38*0.2744+D39*0.2744+D40*0.2744+D41*0.2744+D42*0.2744+D43*0.2744+D44*2.26+D45*1.81+D46*3.78+D49*0.31+D50*3.69+D51*0.52</f>
        <v>94.12</v>
      </c>
      <c r="E7" s="8">
        <f t="shared" si="1"/>
        <v>200.11850000000001</v>
      </c>
      <c r="F7" s="8">
        <f t="shared" si="1"/>
        <v>84.12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29"/>
      <c r="K7" s="8">
        <f>K8*1.1928+K9*1.1928+K10*1.3875+K11*1.1928+K12*3.01+K13*3.01+K14*0.783+K15*7.09+K16*8.99+K17*0.52+K18*1.18+K19*1.56+K20*3.6+K21*1.3659+K22*3.34+K23*3.68+K24*3.314+K25*3.314+K26*3.314+K27*3.314+K28*3.314+K29*3.314+K30*3.314+K31*3.314+K32*3.74+K34*3.558+K35*0.466+K36*0.396+K37*0.56+K38*0.2744+K39*0.2744+K40*0.2744+K41*0.2744+K42*0.2744+K43*0.2744+K44*2.26+K45*1.81+K46*3.78+K49*0.31+K50*3.69</f>
        <v>0</v>
      </c>
      <c r="L7" s="8">
        <f>L8*1.1928+L9*1.1928+L10*1.3875+L11*1.1928+L12*3.01+L13*3.01+L14*0.783+L15*7.09+L16*8.99+L17*0.52+L18*1.18+L19*1.56+L20*3.6+L21*1.3659+L22*3.34+L23*3.68+L24*3.314+L25*3.314+L26*3.314+L27*3.314+L28*3.314+L29*3.314+L30*3.314+L31*3.314+L32*3.74+L34*3.558+L35*0.466+L36*0.396+L37*0.56+L38*0.2744+L39*0.2744+L40*0.2744+L41*0.2744+L42*0.2744+L43*0.2744+L44*2.26+L45*1.81+L46*3.78+L49*0.31+L50*3.69</f>
        <v>0</v>
      </c>
      <c r="M7" s="29"/>
      <c r="N7" s="8">
        <f t="shared" ref="N7:V7" si="2">N8*1.1928+N9*1.1928+N10*1.3875+N11*1.1928+N12*3.01+N13*3.01+N14*0.783+N15*7.09+N16*8.99+N17*0.52+N18*1.18+N19*1.56+N20*3.6+N21*1.3659+N22*3.34+N23*3.68+N24*3.314+N25*3.314+N26*3.314+N27*3.314+N28*3.314+N29*3.314+N30*3.314+N31*3.314+N32*3.74+N34*3.558+N35*0.466+N36*0.396+N37*0.56+N38*0.2744+N39*0.2744+N40*0.2744+N41*0.2744+N42*0.2744+N43*0.2744+N44*2.26+N45*1.81+N46*3.78+N49*0.31+N50*3.69</f>
        <v>104.38759999999999</v>
      </c>
      <c r="O7" s="8">
        <f t="shared" si="2"/>
        <v>118.36976</v>
      </c>
      <c r="P7" s="8">
        <f t="shared" si="2"/>
        <v>168.4425</v>
      </c>
      <c r="Q7" s="8">
        <f t="shared" si="2"/>
        <v>122.41967999999999</v>
      </c>
      <c r="R7" s="8">
        <f>R8*1.1928+R9*1.1928+R10*1.3875+R11*1.1928+R12*3.01+R13*3.01+R14*0.783+R15*7.09+R16*8.99+R17*0.52+R18*1.18+R19*1.56+R20*3.6+R21*1.3659+R22*3.34+R23*3.68+R24*3.314+R25*3.314+R26*3.314+R27*3.314+R28*3.314+R29*3.314+R30*3.314+R31*3.314+R32*3.74+R34*3.558+R35*0.466+R36*0.396+R37*0.56+R38*0.2744+R39*0.2744+R40*0.2744+R41*0.2744+R42*0.2744+R43*0.2744+R44*2.26+R45*1.81+R46*3.78+R49*0.31+R50*3.69</f>
        <v>62</v>
      </c>
      <c r="S7" s="8">
        <f t="shared" si="2"/>
        <v>112.99999999999999</v>
      </c>
      <c r="T7" s="8">
        <f t="shared" si="2"/>
        <v>72.400000000000006</v>
      </c>
      <c r="U7" s="8">
        <f>U8*1.1928+U9*1.1928+U10*1.3875+U11*1.1928+U12*3.01+U13*3.01+U14*0.783+U15*7.09+U16*8.99+U17*0.52+U18*1.18+U19*1.56+U20*3.6+U21*1.3659+U22*3.34+U23*3.68+U24*3.314+U25*3.314+U26*3.314+U27*3.314+U28*3.314+U29*3.314+U30*3.314+U31*3.314+U32*3.74+U34*3.558+U35*0.466+U36*0.396+U37*0.56+U38*0.2744+U39*0.2744+U40*0.2744+U41*0.2744+U42*0.2744+U43*0.2744+U44*2.26+U45*1.81+U46*3.78+U49*0.31+U50*3.69</f>
        <v>35.58</v>
      </c>
      <c r="V7" s="8">
        <f t="shared" si="2"/>
        <v>0</v>
      </c>
      <c r="W7" s="29"/>
      <c r="X7" s="8">
        <f>X8*1.1928+X9*1.1928+X10*1.3875+X11*1.1928+X12*3.01+X13*3.01+X14*0.783+X15*7.09+X16*8.99+X17*0.52+X18*1.18+X19*1.56+X20*3.6+X21*1.3659+X22*3.34+X23*3.68+X24*3.314+X25*3.314+X26*3.314+X27*3.314+X28*3.314+X29*3.314+X30*3.314+X31*3.314+X32*3.74+X34*3.558+X35*0.466+X36*0.396+X37*0.56+X38*0.2744+X39*0.2744+X40*0.2744+X41*0.2744+X42*0.2744+X43*0.2744+X44*2.26+X45*1.81+X46*3.78+X49*0.31+X50*3.69</f>
        <v>0</v>
      </c>
      <c r="Y7" s="8">
        <f>Y8*1.1928+Y9*1.1928+Y10*1.3875+Y11*1.1928+Y12*3.01+Y13*3.01+Y14*0.783+Y15*7.09+Y16*8.99+Y17*0.52+Y18*1.18+Y19*1.56+Y20*3.6+Y21*1.3659+Y22*3.34+Y23*3.68+Y24*3.314+Y25*3.314+Y26*3.314+Y27*3.314+Y28*3.314+Y29*3.314+Y30*3.314+Y31*3.314+Y32*3.74+Y34*3.558+Y35*0.466+Y36*0.396+Y37*0.56+Y38*0.2744+Y39*0.2744+Y40*0.2744+Y41*0.2744+Y42*0.2744+Y43*0.2744+Y44*2.26+Y45*1.81+Y46*3.78+Y49*0.31+Y50*3.69</f>
        <v>0</v>
      </c>
      <c r="Z7" s="8">
        <f>Z8*1.1928+Z9*1.1928+Z10*1.3875+Z11*1.1928+Z12*3.01+Z13*3.01+Z14*0.783+Z15*7.09+Z16*8.99+Z17*0.52+Z18*1.18+Z19*1.56+Z20*3.6+Z21*1.3659+Z22*3.34+Z23*3.68+Z24*3.314+Z25*3.314+Z26*3.314+Z27*3.314+Z28*3.314+Z29*3.314+Z30*3.314+Z31*3.314+Z32*3.74+Z34*3.558+Z35*0.466+Z36*0.396+Z37*0.56+Z38*0.2744+Z39*0.2744+Z40*0.2744+Z41*0.2744+Z42*0.2744+Z43*0.2744+Z44*2.26+Z45*1.81+Z46*3.78+Z49*0.31+Z50*3.69</f>
        <v>0</v>
      </c>
      <c r="AA7" s="8">
        <f t="shared" ref="AA7:AG7" si="3">AA8*1.1928+AA9*1.1928+AA10*1.3875+AA11*1.1928+AA12*3.01+AA13*3.01+AA14*0.783+AA15*7.09+AA16*8.99+AA17*0.52+AA18*1.18+AA19*1.56+AA20*3.6+AA21*1.3659+AA22*3.34+AA23*3.68+AA24*3.314+AA25*3.314+AA26*3.314+AA27*3.314+AA28*3.314+AA29*3.314+AA30*3.314+AA31*3.314+AA32*3.74+AA34*3.558+AA35*0.466+AA36*0.396+AA37*0.56+AA38*0.2744+AA39*0.2744+AA40*0.2744+AA41*0.2744+AA42*0.2744+AA43*0.2744+AA44*2.26+AA45*1.81+AA46*3.78+AA49*0.31+AA50*3.69</f>
        <v>0</v>
      </c>
      <c r="AB7" s="8">
        <f t="shared" si="3"/>
        <v>0</v>
      </c>
      <c r="AC7" s="8">
        <f t="shared" si="3"/>
        <v>0</v>
      </c>
      <c r="AD7" s="8">
        <f t="shared" si="3"/>
        <v>0</v>
      </c>
      <c r="AE7" s="8">
        <f t="shared" si="3"/>
        <v>0</v>
      </c>
      <c r="AF7" s="8">
        <f t="shared" si="3"/>
        <v>0</v>
      </c>
      <c r="AG7" s="8">
        <f t="shared" si="3"/>
        <v>0</v>
      </c>
      <c r="AH7" s="31"/>
      <c r="AI7" s="8">
        <f>AI8*1.1928+AI9*1.1928+AI10*1.3875+AI11*1.1928+AI12*3.01+AI13*3.01+AI14*0.783+AI15*7.09+AI16*8.99+AI17*0.52+AI18*1.18+AI19*1.56+AI20*3.6+AI21*1.3659+AI22*3.34+AI23*3.68+AI24*3.314+AI25*3.314+AI26*3.314+AI27*3.314+AI28*3.314+AI29*3.314+AI30*3.314+AI31*3.314+AI32*3.74+AI34*3.558+AI35*0.466+AI36*0.396+AI37*0.56+AI38*0.2744+AI39*0.2744+AI40*0.2744+AI41*0.2744+AI42*0.2744+AI43*0.2744+AI44*2.26+AI45*1.81+AI46*3.78+AI49*0.31+AI50*3.69</f>
        <v>0</v>
      </c>
      <c r="AK7" s="46"/>
    </row>
    <row r="8" spans="1:37" ht="13.5" thickBot="1">
      <c r="A8" s="2" t="s">
        <v>16</v>
      </c>
      <c r="B8" s="64">
        <f t="shared" si="0"/>
        <v>0</v>
      </c>
      <c r="C8" s="65"/>
      <c r="D8" s="65"/>
      <c r="E8" s="65"/>
      <c r="F8" s="65"/>
      <c r="G8" s="65"/>
      <c r="H8" s="65"/>
      <c r="I8" s="65"/>
      <c r="J8" s="66"/>
      <c r="K8" s="65"/>
      <c r="L8" s="65"/>
      <c r="M8" s="66"/>
      <c r="N8" s="65"/>
      <c r="O8" s="65"/>
      <c r="P8" s="65"/>
      <c r="Q8" s="65"/>
      <c r="R8" s="65"/>
      <c r="S8" s="65"/>
      <c r="T8" s="65"/>
      <c r="U8" s="65"/>
      <c r="V8" s="65"/>
      <c r="W8" s="66"/>
      <c r="X8" s="65"/>
      <c r="Y8" s="65"/>
      <c r="Z8" s="67"/>
      <c r="AA8" s="65"/>
      <c r="AB8" s="65"/>
      <c r="AC8" s="65"/>
      <c r="AD8" s="65"/>
      <c r="AE8" s="65"/>
      <c r="AF8" s="65"/>
      <c r="AG8" s="65"/>
      <c r="AH8" s="66"/>
      <c r="AI8" s="65"/>
      <c r="AK8" s="43"/>
    </row>
    <row r="9" spans="1:37" ht="13.5" thickBot="1">
      <c r="A9" s="2" t="s">
        <v>17</v>
      </c>
      <c r="B9" s="64">
        <f t="shared" si="0"/>
        <v>0</v>
      </c>
      <c r="C9" s="65"/>
      <c r="D9" s="65"/>
      <c r="E9" s="65"/>
      <c r="F9" s="65"/>
      <c r="G9" s="65"/>
      <c r="H9" s="65"/>
      <c r="I9" s="65"/>
      <c r="J9" s="66"/>
      <c r="K9" s="65"/>
      <c r="L9" s="65"/>
      <c r="M9" s="66"/>
      <c r="N9" s="65"/>
      <c r="O9" s="65"/>
      <c r="P9" s="65"/>
      <c r="Q9" s="65"/>
      <c r="R9" s="65"/>
      <c r="S9" s="65"/>
      <c r="T9" s="65"/>
      <c r="U9" s="65"/>
      <c r="V9" s="65"/>
      <c r="W9" s="66"/>
      <c r="X9" s="65"/>
      <c r="Y9" s="65"/>
      <c r="Z9" s="67"/>
      <c r="AA9" s="65"/>
      <c r="AB9" s="65"/>
      <c r="AC9" s="65"/>
      <c r="AD9" s="65"/>
      <c r="AE9" s="65"/>
      <c r="AF9" s="65"/>
      <c r="AG9" s="65"/>
      <c r="AH9" s="66"/>
      <c r="AI9" s="65"/>
      <c r="AK9" s="43"/>
    </row>
    <row r="10" spans="1:37" ht="13.5" thickBot="1">
      <c r="A10" s="2" t="s">
        <v>18</v>
      </c>
      <c r="B10" s="64">
        <f t="shared" si="0"/>
        <v>0</v>
      </c>
      <c r="C10" s="65"/>
      <c r="D10" s="65"/>
      <c r="E10" s="65"/>
      <c r="F10" s="65"/>
      <c r="G10" s="65"/>
      <c r="H10" s="65"/>
      <c r="I10" s="65"/>
      <c r="J10" s="66"/>
      <c r="K10" s="65"/>
      <c r="L10" s="65"/>
      <c r="M10" s="66"/>
      <c r="N10" s="65"/>
      <c r="O10" s="65"/>
      <c r="P10" s="65"/>
      <c r="Q10" s="65"/>
      <c r="R10" s="65"/>
      <c r="S10" s="65"/>
      <c r="T10" s="65"/>
      <c r="U10" s="65"/>
      <c r="V10" s="65"/>
      <c r="W10" s="66"/>
      <c r="X10" s="65"/>
      <c r="Y10" s="65"/>
      <c r="Z10" s="67"/>
      <c r="AA10" s="65"/>
      <c r="AB10" s="65"/>
      <c r="AC10" s="65"/>
      <c r="AD10" s="65"/>
      <c r="AE10" s="65"/>
      <c r="AF10" s="65"/>
      <c r="AG10" s="65"/>
      <c r="AH10" s="66"/>
      <c r="AI10" s="65"/>
      <c r="AK10" s="43"/>
    </row>
    <row r="11" spans="1:37" ht="13.5" thickBot="1">
      <c r="A11" s="2" t="s">
        <v>19</v>
      </c>
      <c r="B11" s="64">
        <f t="shared" si="0"/>
        <v>0</v>
      </c>
      <c r="C11" s="65"/>
      <c r="D11" s="65"/>
      <c r="E11" s="65"/>
      <c r="F11" s="65"/>
      <c r="G11" s="65"/>
      <c r="H11" s="65"/>
      <c r="I11" s="65"/>
      <c r="J11" s="66"/>
      <c r="K11" s="65"/>
      <c r="L11" s="65"/>
      <c r="M11" s="66"/>
      <c r="N11" s="65"/>
      <c r="O11" s="65"/>
      <c r="P11" s="65"/>
      <c r="Q11" s="65"/>
      <c r="R11" s="65"/>
      <c r="S11" s="65"/>
      <c r="T11" s="65"/>
      <c r="U11" s="65"/>
      <c r="V11" s="65"/>
      <c r="W11" s="66"/>
      <c r="X11" s="65"/>
      <c r="Y11" s="65"/>
      <c r="Z11" s="67"/>
      <c r="AA11" s="65"/>
      <c r="AB11" s="65"/>
      <c r="AC11" s="65"/>
      <c r="AD11" s="65"/>
      <c r="AE11" s="65"/>
      <c r="AF11" s="65"/>
      <c r="AG11" s="65"/>
      <c r="AH11" s="66"/>
      <c r="AI11" s="65"/>
      <c r="AK11" s="43"/>
    </row>
    <row r="12" spans="1:37" ht="13.5" thickBot="1">
      <c r="A12" s="2" t="s">
        <v>20</v>
      </c>
      <c r="B12" s="64">
        <f t="shared" si="0"/>
        <v>51.25</v>
      </c>
      <c r="C12" s="65"/>
      <c r="D12" s="65"/>
      <c r="E12" s="65"/>
      <c r="F12" s="65"/>
      <c r="G12" s="65"/>
      <c r="H12" s="65"/>
      <c r="I12" s="65"/>
      <c r="J12" s="66"/>
      <c r="K12" s="65"/>
      <c r="L12" s="65"/>
      <c r="M12" s="66"/>
      <c r="N12" s="65"/>
      <c r="O12" s="65"/>
      <c r="P12" s="65">
        <v>51.25</v>
      </c>
      <c r="Q12" s="65"/>
      <c r="R12" s="65"/>
      <c r="S12" s="65"/>
      <c r="T12" s="65"/>
      <c r="U12" s="65"/>
      <c r="V12" s="65"/>
      <c r="W12" s="66"/>
      <c r="X12" s="65"/>
      <c r="Y12" s="65"/>
      <c r="Z12" s="67"/>
      <c r="AA12" s="65"/>
      <c r="AB12" s="65"/>
      <c r="AC12" s="65"/>
      <c r="AD12" s="65"/>
      <c r="AE12" s="65"/>
      <c r="AF12" s="65"/>
      <c r="AG12" s="65"/>
      <c r="AH12" s="66"/>
      <c r="AI12" s="65"/>
      <c r="AK12" s="43"/>
    </row>
    <row r="13" spans="1:37" ht="13.5" thickBot="1">
      <c r="A13" s="2" t="s">
        <v>21</v>
      </c>
      <c r="B13" s="64">
        <f t="shared" si="0"/>
        <v>0</v>
      </c>
      <c r="C13" s="65"/>
      <c r="D13" s="65"/>
      <c r="E13" s="65"/>
      <c r="F13" s="65"/>
      <c r="G13" s="65"/>
      <c r="H13" s="65"/>
      <c r="I13" s="65"/>
      <c r="J13" s="66"/>
      <c r="K13" s="65"/>
      <c r="L13" s="65"/>
      <c r="M13" s="66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5"/>
      <c r="Y13" s="65"/>
      <c r="Z13" s="67"/>
      <c r="AA13" s="65"/>
      <c r="AB13" s="65"/>
      <c r="AC13" s="65"/>
      <c r="AD13" s="65"/>
      <c r="AE13" s="65"/>
      <c r="AF13" s="65"/>
      <c r="AG13" s="65"/>
      <c r="AH13" s="66"/>
      <c r="AI13" s="65"/>
      <c r="AK13" s="43"/>
    </row>
    <row r="14" spans="1:37" ht="13.5" thickBot="1">
      <c r="A14" s="2" t="s">
        <v>22</v>
      </c>
      <c r="B14" s="64">
        <f t="shared" si="0"/>
        <v>0</v>
      </c>
      <c r="C14" s="65"/>
      <c r="D14" s="65"/>
      <c r="E14" s="65"/>
      <c r="F14" s="65"/>
      <c r="G14" s="65"/>
      <c r="H14" s="65"/>
      <c r="I14" s="65"/>
      <c r="J14" s="66"/>
      <c r="K14" s="65"/>
      <c r="L14" s="65"/>
      <c r="M14" s="66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65"/>
      <c r="Y14" s="65"/>
      <c r="Z14" s="67"/>
      <c r="AA14" s="65"/>
      <c r="AB14" s="65"/>
      <c r="AC14" s="65"/>
      <c r="AD14" s="65"/>
      <c r="AE14" s="65"/>
      <c r="AF14" s="65"/>
      <c r="AG14" s="65"/>
      <c r="AH14" s="66"/>
      <c r="AI14" s="65"/>
      <c r="AK14" s="43"/>
    </row>
    <row r="15" spans="1:37" ht="13.5" thickBot="1">
      <c r="A15" s="2" t="s">
        <v>23</v>
      </c>
      <c r="B15" s="64">
        <f t="shared" si="0"/>
        <v>23.7</v>
      </c>
      <c r="C15" s="65">
        <v>5</v>
      </c>
      <c r="D15" s="65"/>
      <c r="E15" s="65">
        <v>7.4</v>
      </c>
      <c r="F15" s="65"/>
      <c r="G15" s="65"/>
      <c r="H15" s="65"/>
      <c r="I15" s="65"/>
      <c r="J15" s="66"/>
      <c r="K15" s="65"/>
      <c r="L15" s="65"/>
      <c r="M15" s="66"/>
      <c r="N15" s="65"/>
      <c r="O15" s="65">
        <v>4</v>
      </c>
      <c r="P15" s="65">
        <v>2</v>
      </c>
      <c r="Q15" s="65">
        <v>5.3</v>
      </c>
      <c r="R15" s="65"/>
      <c r="S15" s="65"/>
      <c r="T15" s="65"/>
      <c r="U15" s="65"/>
      <c r="V15" s="65"/>
      <c r="W15" s="66"/>
      <c r="X15" s="65"/>
      <c r="Y15" s="65"/>
      <c r="Z15" s="67"/>
      <c r="AA15" s="65"/>
      <c r="AB15" s="65"/>
      <c r="AC15" s="65"/>
      <c r="AD15" s="65"/>
      <c r="AE15" s="65"/>
      <c r="AF15" s="65"/>
      <c r="AG15" s="65"/>
      <c r="AH15" s="66"/>
      <c r="AI15" s="65"/>
      <c r="AK15" s="43"/>
    </row>
    <row r="16" spans="1:37" ht="13.5" thickBot="1">
      <c r="A16" s="2" t="s">
        <v>24</v>
      </c>
      <c r="B16" s="64">
        <f t="shared" si="0"/>
        <v>9.9499999999999993</v>
      </c>
      <c r="C16" s="65"/>
      <c r="D16" s="65"/>
      <c r="E16" s="65">
        <v>0.95</v>
      </c>
      <c r="F16" s="65"/>
      <c r="G16" s="65"/>
      <c r="H16" s="65"/>
      <c r="I16" s="65"/>
      <c r="J16" s="66"/>
      <c r="K16" s="65"/>
      <c r="L16" s="65"/>
      <c r="M16" s="66"/>
      <c r="N16" s="65">
        <v>9</v>
      </c>
      <c r="O16" s="65"/>
      <c r="P16" s="65"/>
      <c r="Q16" s="65"/>
      <c r="R16" s="65"/>
      <c r="S16" s="65"/>
      <c r="T16" s="65"/>
      <c r="U16" s="65"/>
      <c r="V16" s="65"/>
      <c r="W16" s="66"/>
      <c r="X16" s="65"/>
      <c r="Y16" s="65"/>
      <c r="Z16" s="67"/>
      <c r="AA16" s="65"/>
      <c r="AB16" s="65"/>
      <c r="AC16" s="65"/>
      <c r="AD16" s="65"/>
      <c r="AE16" s="65"/>
      <c r="AF16" s="65"/>
      <c r="AG16" s="65"/>
      <c r="AH16" s="66"/>
      <c r="AI16" s="65"/>
      <c r="AK16" s="43"/>
    </row>
    <row r="17" spans="1:37" ht="13.5" thickBot="1">
      <c r="A17" s="2" t="s">
        <v>54</v>
      </c>
      <c r="B17" s="64">
        <f t="shared" si="0"/>
        <v>120</v>
      </c>
      <c r="C17" s="65">
        <v>120</v>
      </c>
      <c r="D17" s="65"/>
      <c r="E17" s="65"/>
      <c r="F17" s="65"/>
      <c r="G17" s="65"/>
      <c r="H17" s="65"/>
      <c r="I17" s="65"/>
      <c r="J17" s="66"/>
      <c r="K17" s="65"/>
      <c r="L17" s="65"/>
      <c r="M17" s="66"/>
      <c r="N17" s="65"/>
      <c r="O17" s="65"/>
      <c r="P17" s="65"/>
      <c r="Q17" s="65"/>
      <c r="R17" s="65"/>
      <c r="S17" s="65"/>
      <c r="T17" s="65"/>
      <c r="U17" s="65"/>
      <c r="V17" s="65"/>
      <c r="W17" s="66"/>
      <c r="X17" s="65"/>
      <c r="Y17" s="65"/>
      <c r="Z17" s="67"/>
      <c r="AA17" s="65"/>
      <c r="AB17" s="65"/>
      <c r="AC17" s="65"/>
      <c r="AD17" s="65"/>
      <c r="AE17" s="65"/>
      <c r="AF17" s="65"/>
      <c r="AG17" s="65"/>
      <c r="AH17" s="66"/>
      <c r="AI17" s="65"/>
      <c r="AK17" s="43"/>
    </row>
    <row r="18" spans="1:37" ht="13.5" thickBot="1">
      <c r="A18" s="2" t="s">
        <v>25</v>
      </c>
      <c r="B18" s="64">
        <f t="shared" si="0"/>
        <v>0</v>
      </c>
      <c r="C18" s="65"/>
      <c r="D18" s="65"/>
      <c r="E18" s="65"/>
      <c r="F18" s="65"/>
      <c r="G18" s="65"/>
      <c r="H18" s="65"/>
      <c r="I18" s="65"/>
      <c r="J18" s="66"/>
      <c r="K18" s="65"/>
      <c r="L18" s="65"/>
      <c r="M18" s="66"/>
      <c r="N18" s="65"/>
      <c r="O18" s="65"/>
      <c r="P18" s="65"/>
      <c r="Q18" s="65"/>
      <c r="R18" s="65"/>
      <c r="S18" s="65"/>
      <c r="T18" s="65"/>
      <c r="U18" s="65"/>
      <c r="V18" s="65"/>
      <c r="W18" s="66"/>
      <c r="X18" s="65"/>
      <c r="Y18" s="65"/>
      <c r="Z18" s="67"/>
      <c r="AA18" s="65"/>
      <c r="AB18" s="65"/>
      <c r="AC18" s="65"/>
      <c r="AD18" s="65"/>
      <c r="AE18" s="65"/>
      <c r="AF18" s="65"/>
      <c r="AG18" s="65"/>
      <c r="AH18" s="66"/>
      <c r="AI18" s="65"/>
      <c r="AK18" s="43"/>
    </row>
    <row r="19" spans="1:37" ht="13.5" thickBot="1">
      <c r="A19" s="2" t="s">
        <v>26</v>
      </c>
      <c r="B19" s="64">
        <f t="shared" si="0"/>
        <v>0</v>
      </c>
      <c r="C19" s="65"/>
      <c r="D19" s="65"/>
      <c r="E19" s="65"/>
      <c r="F19" s="65"/>
      <c r="G19" s="65"/>
      <c r="H19" s="65"/>
      <c r="I19" s="65"/>
      <c r="J19" s="66"/>
      <c r="K19" s="65"/>
      <c r="L19" s="65"/>
      <c r="M19" s="66"/>
      <c r="N19" s="65"/>
      <c r="O19" s="65"/>
      <c r="P19" s="65"/>
      <c r="Q19" s="65"/>
      <c r="R19" s="65"/>
      <c r="S19" s="65"/>
      <c r="T19" s="65"/>
      <c r="U19" s="65"/>
      <c r="V19" s="65"/>
      <c r="W19" s="66"/>
      <c r="X19" s="65"/>
      <c r="Y19" s="65"/>
      <c r="Z19" s="67"/>
      <c r="AA19" s="65"/>
      <c r="AB19" s="65"/>
      <c r="AC19" s="65"/>
      <c r="AD19" s="65"/>
      <c r="AE19" s="65"/>
      <c r="AF19" s="65"/>
      <c r="AG19" s="65"/>
      <c r="AH19" s="66"/>
      <c r="AI19" s="65"/>
      <c r="AK19" s="43"/>
    </row>
    <row r="20" spans="1:37" ht="13.5" thickBot="1">
      <c r="A20" s="2" t="s">
        <v>27</v>
      </c>
      <c r="B20" s="64">
        <f t="shared" si="0"/>
        <v>0</v>
      </c>
      <c r="C20" s="65"/>
      <c r="D20" s="65"/>
      <c r="E20" s="65"/>
      <c r="F20" s="65"/>
      <c r="G20" s="65"/>
      <c r="H20" s="65"/>
      <c r="I20" s="65"/>
      <c r="J20" s="66"/>
      <c r="K20" s="65"/>
      <c r="L20" s="65"/>
      <c r="M20" s="66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65"/>
      <c r="Y20" s="65"/>
      <c r="Z20" s="67"/>
      <c r="AA20" s="65"/>
      <c r="AB20" s="65"/>
      <c r="AC20" s="65"/>
      <c r="AD20" s="65"/>
      <c r="AE20" s="65"/>
      <c r="AF20" s="65"/>
      <c r="AG20" s="65"/>
      <c r="AH20" s="66"/>
      <c r="AI20" s="65"/>
      <c r="AK20" s="43"/>
    </row>
    <row r="21" spans="1:37" ht="13.5" thickBot="1">
      <c r="A21" s="2" t="s">
        <v>14</v>
      </c>
      <c r="B21" s="64">
        <f t="shared" si="0"/>
        <v>0</v>
      </c>
      <c r="C21" s="65"/>
      <c r="D21" s="65"/>
      <c r="E21" s="65"/>
      <c r="F21" s="65"/>
      <c r="G21" s="65"/>
      <c r="H21" s="65"/>
      <c r="I21" s="65"/>
      <c r="J21" s="66"/>
      <c r="K21" s="65"/>
      <c r="L21" s="65"/>
      <c r="M21" s="66"/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65"/>
      <c r="Y21" s="65"/>
      <c r="Z21" s="67"/>
      <c r="AA21" s="65"/>
      <c r="AB21" s="65"/>
      <c r="AC21" s="65"/>
      <c r="AD21" s="65"/>
      <c r="AE21" s="65"/>
      <c r="AF21" s="65"/>
      <c r="AG21" s="65"/>
      <c r="AH21" s="66"/>
      <c r="AI21" s="65"/>
      <c r="AK21" s="43"/>
    </row>
    <row r="22" spans="1:37" ht="13.5" thickBot="1">
      <c r="A22" s="2" t="s">
        <v>28</v>
      </c>
      <c r="B22" s="64">
        <f t="shared" si="0"/>
        <v>35.5</v>
      </c>
      <c r="C22" s="65"/>
      <c r="D22" s="65"/>
      <c r="E22" s="65">
        <v>33.700000000000003</v>
      </c>
      <c r="F22" s="65"/>
      <c r="G22" s="65"/>
      <c r="H22" s="65"/>
      <c r="I22" s="65"/>
      <c r="J22" s="66"/>
      <c r="K22" s="65"/>
      <c r="L22" s="65"/>
      <c r="M22" s="66"/>
      <c r="N22" s="65"/>
      <c r="O22" s="65"/>
      <c r="P22" s="65"/>
      <c r="Q22" s="65">
        <v>1.8</v>
      </c>
      <c r="R22" s="65"/>
      <c r="S22" s="65"/>
      <c r="T22" s="65"/>
      <c r="U22" s="65"/>
      <c r="V22" s="65"/>
      <c r="W22" s="66"/>
      <c r="X22" s="65"/>
      <c r="Y22" s="65"/>
      <c r="Z22" s="67"/>
      <c r="AA22" s="65"/>
      <c r="AB22" s="65"/>
      <c r="AC22" s="65"/>
      <c r="AD22" s="65"/>
      <c r="AE22" s="65"/>
      <c r="AF22" s="65"/>
      <c r="AG22" s="65"/>
      <c r="AH22" s="66"/>
      <c r="AI22" s="65"/>
      <c r="AK22" s="43"/>
    </row>
    <row r="23" spans="1:37" ht="13.5" thickBot="1">
      <c r="A23" s="2" t="s">
        <v>29</v>
      </c>
      <c r="B23" s="64">
        <f t="shared" si="0"/>
        <v>0</v>
      </c>
      <c r="C23" s="65"/>
      <c r="D23" s="65"/>
      <c r="E23" s="65"/>
      <c r="F23" s="65"/>
      <c r="G23" s="65"/>
      <c r="H23" s="65"/>
      <c r="I23" s="65"/>
      <c r="J23" s="66"/>
      <c r="K23" s="65"/>
      <c r="L23" s="65"/>
      <c r="M23" s="66"/>
      <c r="N23" s="65"/>
      <c r="O23" s="65"/>
      <c r="P23" s="65"/>
      <c r="Q23" s="65"/>
      <c r="R23" s="65"/>
      <c r="S23" s="65"/>
      <c r="T23" s="65"/>
      <c r="U23" s="65"/>
      <c r="V23" s="65"/>
      <c r="W23" s="66"/>
      <c r="X23" s="65"/>
      <c r="Y23" s="65"/>
      <c r="Z23" s="67"/>
      <c r="AA23" s="65"/>
      <c r="AB23" s="65"/>
      <c r="AC23" s="65"/>
      <c r="AD23" s="65"/>
      <c r="AE23" s="65"/>
      <c r="AF23" s="65"/>
      <c r="AG23" s="65"/>
      <c r="AH23" s="66"/>
      <c r="AI23" s="65"/>
      <c r="AK23" s="43"/>
    </row>
    <row r="24" spans="1:37" ht="13.5" thickBot="1">
      <c r="A24" s="2" t="s">
        <v>30</v>
      </c>
      <c r="B24" s="64">
        <f t="shared" si="0"/>
        <v>0</v>
      </c>
      <c r="C24" s="65"/>
      <c r="D24" s="65"/>
      <c r="E24" s="65"/>
      <c r="F24" s="65"/>
      <c r="G24" s="65"/>
      <c r="H24" s="65"/>
      <c r="I24" s="65"/>
      <c r="J24" s="66"/>
      <c r="K24" s="65"/>
      <c r="L24" s="65"/>
      <c r="M24" s="66"/>
      <c r="N24" s="65"/>
      <c r="O24" s="65"/>
      <c r="P24" s="65"/>
      <c r="Q24" s="65"/>
      <c r="R24" s="65"/>
      <c r="S24" s="65"/>
      <c r="T24" s="65"/>
      <c r="U24" s="65"/>
      <c r="V24" s="65"/>
      <c r="W24" s="66"/>
      <c r="X24" s="65"/>
      <c r="Y24" s="65"/>
      <c r="Z24" s="67"/>
      <c r="AA24" s="65"/>
      <c r="AB24" s="65"/>
      <c r="AC24" s="65"/>
      <c r="AD24" s="65"/>
      <c r="AE24" s="65"/>
      <c r="AF24" s="65"/>
      <c r="AG24" s="65"/>
      <c r="AH24" s="66"/>
      <c r="AI24" s="65"/>
      <c r="AK24" s="43"/>
    </row>
    <row r="25" spans="1:37" ht="13.5" thickBot="1">
      <c r="A25" s="2" t="s">
        <v>31</v>
      </c>
      <c r="B25" s="64">
        <f t="shared" si="0"/>
        <v>37.5</v>
      </c>
      <c r="C25" s="65">
        <v>37.5</v>
      </c>
      <c r="D25" s="65"/>
      <c r="E25" s="65"/>
      <c r="F25" s="65"/>
      <c r="G25" s="65"/>
      <c r="H25" s="65"/>
      <c r="I25" s="65"/>
      <c r="J25" s="66"/>
      <c r="K25" s="65"/>
      <c r="L25" s="65"/>
      <c r="M25" s="66"/>
      <c r="N25" s="65"/>
      <c r="O25" s="65"/>
      <c r="P25" s="65"/>
      <c r="Q25" s="65"/>
      <c r="R25" s="65"/>
      <c r="S25" s="65"/>
      <c r="T25" s="65"/>
      <c r="U25" s="65"/>
      <c r="V25" s="65"/>
      <c r="W25" s="66"/>
      <c r="X25" s="65"/>
      <c r="Y25" s="65"/>
      <c r="Z25" s="67"/>
      <c r="AA25" s="65"/>
      <c r="AB25" s="65"/>
      <c r="AC25" s="65"/>
      <c r="AD25" s="65"/>
      <c r="AE25" s="65"/>
      <c r="AF25" s="65"/>
      <c r="AG25" s="65"/>
      <c r="AH25" s="66"/>
      <c r="AI25" s="65"/>
      <c r="AK25" s="43"/>
    </row>
    <row r="26" spans="1:37" ht="13.5" thickBot="1">
      <c r="A26" s="2" t="s">
        <v>32</v>
      </c>
      <c r="B26" s="64">
        <f t="shared" si="0"/>
        <v>0</v>
      </c>
      <c r="C26" s="65"/>
      <c r="D26" s="65"/>
      <c r="E26" s="65"/>
      <c r="F26" s="65"/>
      <c r="G26" s="65"/>
      <c r="H26" s="65"/>
      <c r="I26" s="65"/>
      <c r="J26" s="66"/>
      <c r="K26" s="65"/>
      <c r="L26" s="65"/>
      <c r="M26" s="66"/>
      <c r="N26" s="65"/>
      <c r="O26" s="65"/>
      <c r="P26" s="65"/>
      <c r="Q26" s="65"/>
      <c r="R26" s="65"/>
      <c r="S26" s="65"/>
      <c r="T26" s="65"/>
      <c r="U26" s="65"/>
      <c r="V26" s="65"/>
      <c r="W26" s="66"/>
      <c r="X26" s="65"/>
      <c r="Y26" s="65"/>
      <c r="Z26" s="67"/>
      <c r="AA26" s="65"/>
      <c r="AB26" s="65"/>
      <c r="AC26" s="65"/>
      <c r="AD26" s="65"/>
      <c r="AE26" s="65"/>
      <c r="AF26" s="65"/>
      <c r="AG26" s="65"/>
      <c r="AH26" s="66"/>
      <c r="AI26" s="65"/>
      <c r="AK26" s="43"/>
    </row>
    <row r="27" spans="1:37" ht="13.5" thickBot="1">
      <c r="A27" s="2" t="s">
        <v>33</v>
      </c>
      <c r="B27" s="64">
        <f t="shared" si="0"/>
        <v>0</v>
      </c>
      <c r="C27" s="65"/>
      <c r="D27" s="65"/>
      <c r="E27" s="65"/>
      <c r="F27" s="65"/>
      <c r="G27" s="65"/>
      <c r="H27" s="65"/>
      <c r="I27" s="65"/>
      <c r="J27" s="66"/>
      <c r="K27" s="65"/>
      <c r="L27" s="65"/>
      <c r="M27" s="66"/>
      <c r="N27" s="65"/>
      <c r="O27" s="65"/>
      <c r="P27" s="65"/>
      <c r="Q27" s="65"/>
      <c r="R27" s="65"/>
      <c r="S27" s="65"/>
      <c r="T27" s="65"/>
      <c r="U27" s="65"/>
      <c r="V27" s="65"/>
      <c r="W27" s="66"/>
      <c r="X27" s="65"/>
      <c r="Y27" s="65"/>
      <c r="Z27" s="67"/>
      <c r="AA27" s="65"/>
      <c r="AB27" s="65"/>
      <c r="AC27" s="65"/>
      <c r="AD27" s="65"/>
      <c r="AE27" s="65"/>
      <c r="AF27" s="65"/>
      <c r="AG27" s="65"/>
      <c r="AH27" s="66"/>
      <c r="AI27" s="65"/>
      <c r="AK27" s="43"/>
    </row>
    <row r="28" spans="1:37" ht="13.5" thickBot="1">
      <c r="A28" s="2" t="s">
        <v>34</v>
      </c>
      <c r="B28" s="64">
        <f t="shared" si="0"/>
        <v>0</v>
      </c>
      <c r="C28" s="65"/>
      <c r="D28" s="65"/>
      <c r="E28" s="65"/>
      <c r="F28" s="65"/>
      <c r="G28" s="65"/>
      <c r="H28" s="65"/>
      <c r="I28" s="65"/>
      <c r="J28" s="66"/>
      <c r="K28" s="65"/>
      <c r="L28" s="65"/>
      <c r="M28" s="66"/>
      <c r="N28" s="65"/>
      <c r="O28" s="65"/>
      <c r="P28" s="65"/>
      <c r="Q28" s="65"/>
      <c r="R28" s="65"/>
      <c r="S28" s="65"/>
      <c r="T28" s="65"/>
      <c r="U28" s="65"/>
      <c r="V28" s="65"/>
      <c r="W28" s="66"/>
      <c r="X28" s="65"/>
      <c r="Y28" s="65"/>
      <c r="Z28" s="67"/>
      <c r="AA28" s="65"/>
      <c r="AB28" s="65"/>
      <c r="AC28" s="65"/>
      <c r="AD28" s="65"/>
      <c r="AE28" s="65"/>
      <c r="AF28" s="65"/>
      <c r="AG28" s="65"/>
      <c r="AH28" s="66"/>
      <c r="AI28" s="65"/>
      <c r="AK28" s="43"/>
    </row>
    <row r="29" spans="1:37" ht="13.5" thickBot="1">
      <c r="A29" s="2" t="s">
        <v>35</v>
      </c>
      <c r="B29" s="64">
        <f t="shared" si="0"/>
        <v>0</v>
      </c>
      <c r="C29" s="65"/>
      <c r="D29" s="65"/>
      <c r="E29" s="65"/>
      <c r="F29" s="65"/>
      <c r="G29" s="65"/>
      <c r="H29" s="65"/>
      <c r="I29" s="65"/>
      <c r="J29" s="66"/>
      <c r="K29" s="65"/>
      <c r="L29" s="65"/>
      <c r="M29" s="66"/>
      <c r="N29" s="65"/>
      <c r="O29" s="65"/>
      <c r="P29" s="65"/>
      <c r="Q29" s="65"/>
      <c r="R29" s="65"/>
      <c r="S29" s="65"/>
      <c r="T29" s="65"/>
      <c r="U29" s="65"/>
      <c r="V29" s="65"/>
      <c r="W29" s="66"/>
      <c r="X29" s="65"/>
      <c r="Y29" s="65"/>
      <c r="Z29" s="67"/>
      <c r="AA29" s="65"/>
      <c r="AB29" s="65"/>
      <c r="AC29" s="65"/>
      <c r="AD29" s="65"/>
      <c r="AE29" s="65"/>
      <c r="AF29" s="65"/>
      <c r="AG29" s="65"/>
      <c r="AH29" s="66"/>
      <c r="AI29" s="65"/>
      <c r="AK29" s="43"/>
    </row>
    <row r="30" spans="1:37" ht="13.5" thickBot="1">
      <c r="A30" s="2" t="s">
        <v>36</v>
      </c>
      <c r="B30" s="64">
        <f t="shared" si="0"/>
        <v>0</v>
      </c>
      <c r="C30" s="65"/>
      <c r="D30" s="65"/>
      <c r="E30" s="65"/>
      <c r="F30" s="65"/>
      <c r="G30" s="65"/>
      <c r="H30" s="65"/>
      <c r="I30" s="65"/>
      <c r="J30" s="66"/>
      <c r="K30" s="65"/>
      <c r="L30" s="65"/>
      <c r="M30" s="66"/>
      <c r="N30" s="65"/>
      <c r="O30" s="65"/>
      <c r="P30" s="65"/>
      <c r="Q30" s="65"/>
      <c r="R30" s="65"/>
      <c r="S30" s="65"/>
      <c r="T30" s="65"/>
      <c r="U30" s="65"/>
      <c r="V30" s="65"/>
      <c r="W30" s="66"/>
      <c r="X30" s="65"/>
      <c r="Y30" s="65"/>
      <c r="Z30" s="67"/>
      <c r="AA30" s="65"/>
      <c r="AB30" s="65"/>
      <c r="AC30" s="65"/>
      <c r="AD30" s="65"/>
      <c r="AE30" s="65"/>
      <c r="AF30" s="65"/>
      <c r="AG30" s="65"/>
      <c r="AH30" s="66"/>
      <c r="AI30" s="65"/>
      <c r="AK30" s="43"/>
    </row>
    <row r="31" spans="1:37" ht="13.5" thickBot="1">
      <c r="A31" s="2" t="s">
        <v>37</v>
      </c>
      <c r="B31" s="64">
        <f t="shared" si="0"/>
        <v>16</v>
      </c>
      <c r="C31" s="65"/>
      <c r="D31" s="65"/>
      <c r="E31" s="65"/>
      <c r="F31" s="65"/>
      <c r="G31" s="65"/>
      <c r="H31" s="65"/>
      <c r="I31" s="65"/>
      <c r="J31" s="66"/>
      <c r="K31" s="65"/>
      <c r="L31" s="65"/>
      <c r="M31" s="66"/>
      <c r="N31" s="65"/>
      <c r="O31" s="65">
        <v>16</v>
      </c>
      <c r="P31" s="65"/>
      <c r="Q31" s="65"/>
      <c r="R31" s="65"/>
      <c r="S31" s="65"/>
      <c r="T31" s="65"/>
      <c r="U31" s="65"/>
      <c r="V31" s="65"/>
      <c r="W31" s="66"/>
      <c r="X31" s="65"/>
      <c r="Y31" s="65"/>
      <c r="Z31" s="67"/>
      <c r="AA31" s="65"/>
      <c r="AB31" s="65"/>
      <c r="AC31" s="65"/>
      <c r="AD31" s="65"/>
      <c r="AE31" s="65"/>
      <c r="AF31" s="65"/>
      <c r="AG31" s="65"/>
      <c r="AH31" s="66"/>
      <c r="AI31" s="65"/>
      <c r="AK31" s="43"/>
    </row>
    <row r="32" spans="1:37" ht="13.5" thickBot="1">
      <c r="A32" s="2" t="s">
        <v>38</v>
      </c>
      <c r="B32" s="64">
        <f t="shared" si="0"/>
        <v>32.799999999999997</v>
      </c>
      <c r="C32" s="65"/>
      <c r="D32" s="65"/>
      <c r="E32" s="65">
        <v>7.1</v>
      </c>
      <c r="F32" s="65">
        <v>20</v>
      </c>
      <c r="G32" s="65"/>
      <c r="H32" s="65"/>
      <c r="I32" s="65"/>
      <c r="J32" s="66"/>
      <c r="K32" s="65"/>
      <c r="L32" s="65"/>
      <c r="M32" s="66"/>
      <c r="N32" s="65">
        <v>1.2</v>
      </c>
      <c r="O32" s="65"/>
      <c r="P32" s="65"/>
      <c r="Q32" s="65">
        <v>4.5</v>
      </c>
      <c r="R32" s="65"/>
      <c r="S32" s="65"/>
      <c r="T32" s="65"/>
      <c r="U32" s="65"/>
      <c r="V32" s="65"/>
      <c r="W32" s="66"/>
      <c r="X32" s="65"/>
      <c r="Y32" s="65"/>
      <c r="Z32" s="67"/>
      <c r="AA32" s="65"/>
      <c r="AB32" s="65"/>
      <c r="AC32" s="65"/>
      <c r="AD32" s="65"/>
      <c r="AE32" s="65"/>
      <c r="AF32" s="65"/>
      <c r="AG32" s="65"/>
      <c r="AH32" s="66"/>
      <c r="AI32" s="65"/>
      <c r="AK32" s="43"/>
    </row>
    <row r="33" spans="1:37" ht="13.5" thickBot="1">
      <c r="A33" s="2" t="s">
        <v>39</v>
      </c>
      <c r="B33" s="64">
        <f t="shared" si="0"/>
        <v>0</v>
      </c>
      <c r="C33" s="65"/>
      <c r="D33" s="65"/>
      <c r="E33" s="65"/>
      <c r="F33" s="65"/>
      <c r="G33" s="65"/>
      <c r="H33" s="65"/>
      <c r="I33" s="65"/>
      <c r="J33" s="66"/>
      <c r="K33" s="65"/>
      <c r="L33" s="65"/>
      <c r="M33" s="66"/>
      <c r="N33" s="65"/>
      <c r="O33" s="65"/>
      <c r="P33" s="65"/>
      <c r="Q33" s="65"/>
      <c r="R33" s="65"/>
      <c r="S33" s="65"/>
      <c r="T33" s="65"/>
      <c r="U33" s="65"/>
      <c r="V33" s="65"/>
      <c r="W33" s="66"/>
      <c r="X33" s="65"/>
      <c r="Y33" s="65"/>
      <c r="Z33" s="67"/>
      <c r="AA33" s="65"/>
      <c r="AB33" s="65"/>
      <c r="AC33" s="65"/>
      <c r="AD33" s="65"/>
      <c r="AE33" s="65"/>
      <c r="AF33" s="65"/>
      <c r="AG33" s="65"/>
      <c r="AH33" s="66"/>
      <c r="AI33" s="65"/>
      <c r="AK33" s="43"/>
    </row>
    <row r="34" spans="1:37" ht="13.5" thickBot="1">
      <c r="A34" s="2" t="s">
        <v>40</v>
      </c>
      <c r="B34" s="64">
        <f t="shared" si="0"/>
        <v>10</v>
      </c>
      <c r="C34" s="65"/>
      <c r="D34" s="65"/>
      <c r="E34" s="65"/>
      <c r="F34" s="65"/>
      <c r="G34" s="65"/>
      <c r="H34" s="65"/>
      <c r="I34" s="65"/>
      <c r="J34" s="66"/>
      <c r="K34" s="65"/>
      <c r="L34" s="65"/>
      <c r="M34" s="66"/>
      <c r="N34" s="65"/>
      <c r="O34" s="65"/>
      <c r="P34" s="65"/>
      <c r="Q34" s="65"/>
      <c r="R34" s="65"/>
      <c r="S34" s="65"/>
      <c r="T34" s="65"/>
      <c r="U34" s="65">
        <v>10</v>
      </c>
      <c r="V34" s="65"/>
      <c r="W34" s="66"/>
      <c r="X34" s="65"/>
      <c r="Y34" s="65"/>
      <c r="Z34" s="67"/>
      <c r="AA34" s="65"/>
      <c r="AB34" s="65"/>
      <c r="AC34" s="65"/>
      <c r="AD34" s="65"/>
      <c r="AE34" s="65"/>
      <c r="AF34" s="65"/>
      <c r="AG34" s="65"/>
      <c r="AH34" s="66"/>
      <c r="AI34" s="65"/>
      <c r="AK34" s="43"/>
    </row>
    <row r="35" spans="1:37" ht="13.5" thickBot="1">
      <c r="A35" s="2" t="s">
        <v>41</v>
      </c>
      <c r="B35" s="64">
        <f t="shared" si="0"/>
        <v>20</v>
      </c>
      <c r="C35" s="65"/>
      <c r="D35" s="65"/>
      <c r="E35" s="65"/>
      <c r="F35" s="65">
        <v>20</v>
      </c>
      <c r="G35" s="65"/>
      <c r="H35" s="65"/>
      <c r="I35" s="65"/>
      <c r="J35" s="66"/>
      <c r="K35" s="65"/>
      <c r="L35" s="65"/>
      <c r="M35" s="66"/>
      <c r="N35" s="65"/>
      <c r="O35" s="65"/>
      <c r="P35" s="65"/>
      <c r="Q35" s="65"/>
      <c r="R35" s="65"/>
      <c r="S35" s="65"/>
      <c r="T35" s="65"/>
      <c r="U35" s="65"/>
      <c r="V35" s="65"/>
      <c r="W35" s="66"/>
      <c r="X35" s="65"/>
      <c r="Y35" s="65"/>
      <c r="Z35" s="67"/>
      <c r="AA35" s="65"/>
      <c r="AB35" s="65"/>
      <c r="AC35" s="65"/>
      <c r="AD35" s="65"/>
      <c r="AE35" s="65"/>
      <c r="AF35" s="65"/>
      <c r="AG35" s="65"/>
      <c r="AH35" s="66"/>
      <c r="AI35" s="65"/>
      <c r="AK35" s="43"/>
    </row>
    <row r="36" spans="1:37" ht="13.5" thickBot="1">
      <c r="A36" s="2" t="s">
        <v>42</v>
      </c>
      <c r="B36" s="64">
        <f t="shared" si="0"/>
        <v>14</v>
      </c>
      <c r="C36" s="65"/>
      <c r="D36" s="65"/>
      <c r="E36" s="65"/>
      <c r="F36" s="65"/>
      <c r="G36" s="65"/>
      <c r="H36" s="65"/>
      <c r="I36" s="65"/>
      <c r="J36" s="66"/>
      <c r="K36" s="65"/>
      <c r="L36" s="65"/>
      <c r="M36" s="66"/>
      <c r="N36" s="65">
        <v>14</v>
      </c>
      <c r="O36" s="65"/>
      <c r="P36" s="65"/>
      <c r="Q36" s="65"/>
      <c r="R36" s="65"/>
      <c r="S36" s="65"/>
      <c r="T36" s="65"/>
      <c r="U36" s="65"/>
      <c r="V36" s="65"/>
      <c r="W36" s="66"/>
      <c r="X36" s="65"/>
      <c r="Y36" s="65"/>
      <c r="Z36" s="67"/>
      <c r="AA36" s="65"/>
      <c r="AB36" s="65"/>
      <c r="AC36" s="65"/>
      <c r="AD36" s="65"/>
      <c r="AE36" s="65"/>
      <c r="AF36" s="65"/>
      <c r="AG36" s="65"/>
      <c r="AH36" s="66"/>
      <c r="AI36" s="65"/>
      <c r="AK36" s="43"/>
    </row>
    <row r="37" spans="1:37" ht="13.5" thickBot="1">
      <c r="A37" s="2" t="s">
        <v>43</v>
      </c>
      <c r="B37" s="64">
        <f t="shared" si="0"/>
        <v>53.6</v>
      </c>
      <c r="C37" s="65"/>
      <c r="D37" s="65"/>
      <c r="E37" s="65"/>
      <c r="F37" s="65"/>
      <c r="G37" s="65"/>
      <c r="H37" s="65"/>
      <c r="I37" s="65"/>
      <c r="J37" s="66"/>
      <c r="K37" s="65"/>
      <c r="L37" s="65"/>
      <c r="M37" s="66"/>
      <c r="N37" s="65"/>
      <c r="O37" s="65">
        <v>53.6</v>
      </c>
      <c r="P37" s="65"/>
      <c r="Q37" s="65"/>
      <c r="R37" s="65"/>
      <c r="S37" s="65"/>
      <c r="T37" s="65"/>
      <c r="U37" s="65"/>
      <c r="V37" s="65"/>
      <c r="W37" s="66"/>
      <c r="X37" s="65"/>
      <c r="Y37" s="65"/>
      <c r="Z37" s="67"/>
      <c r="AA37" s="65"/>
      <c r="AB37" s="65"/>
      <c r="AC37" s="65"/>
      <c r="AD37" s="65"/>
      <c r="AE37" s="65"/>
      <c r="AF37" s="65"/>
      <c r="AG37" s="65"/>
      <c r="AH37" s="66"/>
      <c r="AI37" s="65"/>
      <c r="AK37" s="43"/>
    </row>
    <row r="38" spans="1:37" ht="13.5" thickBot="1">
      <c r="A38" s="2" t="s">
        <v>44</v>
      </c>
      <c r="B38" s="64">
        <f t="shared" si="0"/>
        <v>215</v>
      </c>
      <c r="C38" s="65"/>
      <c r="D38" s="65"/>
      <c r="E38" s="65"/>
      <c r="F38" s="65"/>
      <c r="G38" s="65"/>
      <c r="H38" s="65"/>
      <c r="I38" s="65"/>
      <c r="J38" s="66"/>
      <c r="K38" s="65"/>
      <c r="L38" s="65"/>
      <c r="M38" s="66"/>
      <c r="N38" s="65"/>
      <c r="O38" s="65"/>
      <c r="P38" s="65"/>
      <c r="Q38" s="65">
        <v>215</v>
      </c>
      <c r="R38" s="65"/>
      <c r="S38" s="65"/>
      <c r="T38" s="65"/>
      <c r="U38" s="65"/>
      <c r="V38" s="65"/>
      <c r="W38" s="66"/>
      <c r="X38" s="65"/>
      <c r="Y38" s="65"/>
      <c r="Z38" s="67"/>
      <c r="AA38" s="65"/>
      <c r="AB38" s="65"/>
      <c r="AC38" s="65"/>
      <c r="AD38" s="65"/>
      <c r="AE38" s="65"/>
      <c r="AF38" s="65"/>
      <c r="AG38" s="65"/>
      <c r="AH38" s="66"/>
      <c r="AI38" s="65"/>
      <c r="AK38" s="43"/>
    </row>
    <row r="39" spans="1:37" ht="13.5" thickBot="1">
      <c r="A39" s="2" t="s">
        <v>45</v>
      </c>
      <c r="B39" s="64">
        <f t="shared" si="0"/>
        <v>63.15</v>
      </c>
      <c r="C39" s="65"/>
      <c r="D39" s="65"/>
      <c r="E39" s="65"/>
      <c r="F39" s="65"/>
      <c r="G39" s="65"/>
      <c r="H39" s="65"/>
      <c r="I39" s="65"/>
      <c r="J39" s="66"/>
      <c r="K39" s="65"/>
      <c r="L39" s="65"/>
      <c r="M39" s="66"/>
      <c r="N39" s="65">
        <v>49</v>
      </c>
      <c r="O39" s="65">
        <v>10.4</v>
      </c>
      <c r="P39" s="65"/>
      <c r="Q39" s="65">
        <v>3.75</v>
      </c>
      <c r="R39" s="65"/>
      <c r="S39" s="65"/>
      <c r="T39" s="65"/>
      <c r="U39" s="65"/>
      <c r="V39" s="65"/>
      <c r="W39" s="66"/>
      <c r="X39" s="65"/>
      <c r="Y39" s="65"/>
      <c r="Z39" s="67"/>
      <c r="AA39" s="65"/>
      <c r="AB39" s="65"/>
      <c r="AC39" s="65"/>
      <c r="AD39" s="65"/>
      <c r="AE39" s="65"/>
      <c r="AF39" s="65"/>
      <c r="AG39" s="65"/>
      <c r="AH39" s="66"/>
      <c r="AI39" s="65"/>
      <c r="AK39" s="43"/>
    </row>
    <row r="40" spans="1:37" ht="13.5" thickBot="1">
      <c r="A40" s="2" t="s">
        <v>46</v>
      </c>
      <c r="B40" s="64">
        <f t="shared" si="0"/>
        <v>22.2</v>
      </c>
      <c r="C40" s="65"/>
      <c r="D40" s="65"/>
      <c r="E40" s="65"/>
      <c r="F40" s="65"/>
      <c r="G40" s="65"/>
      <c r="H40" s="65"/>
      <c r="I40" s="65"/>
      <c r="J40" s="66"/>
      <c r="K40" s="65"/>
      <c r="L40" s="65"/>
      <c r="M40" s="66"/>
      <c r="N40" s="65"/>
      <c r="O40" s="65">
        <v>15</v>
      </c>
      <c r="P40" s="65"/>
      <c r="Q40" s="65">
        <v>7.2</v>
      </c>
      <c r="R40" s="65"/>
      <c r="S40" s="65"/>
      <c r="T40" s="65"/>
      <c r="U40" s="65"/>
      <c r="V40" s="65"/>
      <c r="W40" s="66"/>
      <c r="X40" s="65"/>
      <c r="Y40" s="65"/>
      <c r="Z40" s="67"/>
      <c r="AA40" s="65"/>
      <c r="AB40" s="65"/>
      <c r="AC40" s="65"/>
      <c r="AD40" s="65"/>
      <c r="AE40" s="65"/>
      <c r="AF40" s="65"/>
      <c r="AG40" s="65"/>
      <c r="AH40" s="66"/>
      <c r="AI40" s="65"/>
      <c r="AK40" s="43"/>
    </row>
    <row r="41" spans="1:37" ht="13.5" thickBot="1">
      <c r="A41" s="2" t="s">
        <v>47</v>
      </c>
      <c r="B41" s="64">
        <f t="shared" si="0"/>
        <v>0</v>
      </c>
      <c r="C41" s="65"/>
      <c r="D41" s="65"/>
      <c r="E41" s="65"/>
      <c r="F41" s="65"/>
      <c r="G41" s="65"/>
      <c r="H41" s="65"/>
      <c r="I41" s="65"/>
      <c r="J41" s="66"/>
      <c r="K41" s="65"/>
      <c r="L41" s="65"/>
      <c r="M41" s="66"/>
      <c r="N41" s="65"/>
      <c r="O41" s="65"/>
      <c r="P41" s="65"/>
      <c r="Q41" s="65"/>
      <c r="R41" s="65"/>
      <c r="S41" s="65"/>
      <c r="T41" s="65"/>
      <c r="U41" s="65"/>
      <c r="V41" s="65"/>
      <c r="W41" s="66"/>
      <c r="X41" s="65"/>
      <c r="Y41" s="65"/>
      <c r="Z41" s="67"/>
      <c r="AA41" s="65"/>
      <c r="AB41" s="65"/>
      <c r="AC41" s="65"/>
      <c r="AD41" s="65"/>
      <c r="AE41" s="65"/>
      <c r="AF41" s="65"/>
      <c r="AG41" s="65"/>
      <c r="AH41" s="66"/>
      <c r="AI41" s="65"/>
      <c r="AK41" s="43"/>
    </row>
    <row r="42" spans="1:37" ht="13.5" thickBot="1">
      <c r="A42" s="2" t="s">
        <v>48</v>
      </c>
      <c r="B42" s="64">
        <f t="shared" si="0"/>
        <v>0</v>
      </c>
      <c r="C42" s="65"/>
      <c r="D42" s="65"/>
      <c r="E42" s="65"/>
      <c r="F42" s="65"/>
      <c r="G42" s="65"/>
      <c r="H42" s="65"/>
      <c r="I42" s="65"/>
      <c r="J42" s="66"/>
      <c r="K42" s="65"/>
      <c r="L42" s="65"/>
      <c r="M42" s="66"/>
      <c r="N42" s="65"/>
      <c r="O42" s="65"/>
      <c r="P42" s="65"/>
      <c r="Q42" s="65"/>
      <c r="R42" s="65"/>
      <c r="S42" s="65"/>
      <c r="T42" s="65"/>
      <c r="U42" s="65"/>
      <c r="V42" s="65"/>
      <c r="W42" s="66"/>
      <c r="X42" s="65"/>
      <c r="Y42" s="65"/>
      <c r="Z42" s="67"/>
      <c r="AA42" s="65"/>
      <c r="AB42" s="65"/>
      <c r="AC42" s="65"/>
      <c r="AD42" s="65"/>
      <c r="AE42" s="65"/>
      <c r="AF42" s="65"/>
      <c r="AG42" s="65"/>
      <c r="AH42" s="66"/>
      <c r="AI42" s="65"/>
      <c r="AK42" s="43"/>
    </row>
    <row r="43" spans="1:37" ht="13.5" thickBot="1">
      <c r="A43" s="2" t="s">
        <v>49</v>
      </c>
      <c r="B43" s="64">
        <f t="shared" si="0"/>
        <v>0</v>
      </c>
      <c r="C43" s="65"/>
      <c r="D43" s="65"/>
      <c r="E43" s="65"/>
      <c r="F43" s="65"/>
      <c r="G43" s="65"/>
      <c r="H43" s="65"/>
      <c r="I43" s="65"/>
      <c r="J43" s="66"/>
      <c r="K43" s="65"/>
      <c r="L43" s="65"/>
      <c r="M43" s="66"/>
      <c r="N43" s="65"/>
      <c r="O43" s="65"/>
      <c r="P43" s="65"/>
      <c r="Q43" s="65"/>
      <c r="R43" s="65"/>
      <c r="S43" s="65"/>
      <c r="T43" s="65"/>
      <c r="U43" s="65"/>
      <c r="V43" s="65"/>
      <c r="W43" s="66"/>
      <c r="X43" s="65"/>
      <c r="Y43" s="65"/>
      <c r="Z43" s="67"/>
      <c r="AA43" s="65"/>
      <c r="AB43" s="65"/>
      <c r="AC43" s="65"/>
      <c r="AD43" s="65"/>
      <c r="AE43" s="65"/>
      <c r="AF43" s="65"/>
      <c r="AG43" s="65"/>
      <c r="AH43" s="66"/>
      <c r="AI43" s="65"/>
      <c r="AK43" s="43"/>
    </row>
    <row r="44" spans="1:37" ht="13.5" thickBot="1">
      <c r="A44" s="2" t="s">
        <v>2</v>
      </c>
      <c r="B44" s="64">
        <f t="shared" si="0"/>
        <v>50</v>
      </c>
      <c r="C44" s="65"/>
      <c r="D44" s="65"/>
      <c r="E44" s="65"/>
      <c r="F44" s="65"/>
      <c r="G44" s="65"/>
      <c r="H44" s="65"/>
      <c r="I44" s="65"/>
      <c r="J44" s="66"/>
      <c r="K44" s="65"/>
      <c r="L44" s="65"/>
      <c r="M44" s="66"/>
      <c r="N44" s="65"/>
      <c r="O44" s="65"/>
      <c r="P44" s="65"/>
      <c r="Q44" s="65"/>
      <c r="R44" s="65"/>
      <c r="S44" s="65">
        <v>50</v>
      </c>
      <c r="T44" s="65"/>
      <c r="U44" s="65"/>
      <c r="V44" s="65"/>
      <c r="W44" s="66"/>
      <c r="X44" s="65"/>
      <c r="Y44" s="65"/>
      <c r="Z44" s="67"/>
      <c r="AA44" s="65"/>
      <c r="AB44" s="65"/>
      <c r="AC44" s="65"/>
      <c r="AD44" s="65"/>
      <c r="AE44" s="65"/>
      <c r="AF44" s="65"/>
      <c r="AG44" s="65"/>
      <c r="AH44" s="66"/>
      <c r="AI44" s="65"/>
      <c r="AK44" s="43"/>
    </row>
    <row r="45" spans="1:37" ht="13.5" thickBot="1">
      <c r="A45" s="2" t="s">
        <v>3</v>
      </c>
      <c r="B45" s="64">
        <f t="shared" si="0"/>
        <v>40</v>
      </c>
      <c r="C45" s="65"/>
      <c r="D45" s="65"/>
      <c r="E45" s="65"/>
      <c r="F45" s="65"/>
      <c r="G45" s="65"/>
      <c r="H45" s="65"/>
      <c r="I45" s="65"/>
      <c r="J45" s="66"/>
      <c r="K45" s="65"/>
      <c r="L45" s="65"/>
      <c r="M45" s="66"/>
      <c r="N45" s="65"/>
      <c r="O45" s="65"/>
      <c r="P45" s="65"/>
      <c r="Q45" s="65"/>
      <c r="R45" s="65"/>
      <c r="S45" s="65"/>
      <c r="T45" s="65">
        <v>40</v>
      </c>
      <c r="U45" s="65"/>
      <c r="V45" s="65"/>
      <c r="W45" s="66"/>
      <c r="X45" s="65"/>
      <c r="Y45" s="65"/>
      <c r="Z45" s="67"/>
      <c r="AA45" s="65"/>
      <c r="AB45" s="65"/>
      <c r="AC45" s="65"/>
      <c r="AD45" s="65"/>
      <c r="AE45" s="65"/>
      <c r="AF45" s="65"/>
      <c r="AG45" s="65"/>
      <c r="AH45" s="66"/>
      <c r="AI45" s="65"/>
      <c r="AK45" s="43"/>
    </row>
    <row r="46" spans="1:37" ht="13.5" thickBot="1">
      <c r="A46" s="2" t="s">
        <v>12</v>
      </c>
      <c r="B46" s="64">
        <f t="shared" si="0"/>
        <v>0</v>
      </c>
      <c r="C46" s="65"/>
      <c r="D46" s="65"/>
      <c r="E46" s="65"/>
      <c r="F46" s="65"/>
      <c r="G46" s="65"/>
      <c r="H46" s="65"/>
      <c r="I46" s="65"/>
      <c r="J46" s="66"/>
      <c r="K46" s="65"/>
      <c r="L46" s="65"/>
      <c r="M46" s="66"/>
      <c r="N46" s="65"/>
      <c r="O46" s="65"/>
      <c r="P46" s="65"/>
      <c r="Q46" s="65"/>
      <c r="R46" s="65"/>
      <c r="S46" s="65"/>
      <c r="T46" s="65"/>
      <c r="U46" s="65"/>
      <c r="V46" s="65"/>
      <c r="W46" s="66"/>
      <c r="X46" s="65"/>
      <c r="Y46" s="65"/>
      <c r="Z46" s="67"/>
      <c r="AA46" s="65"/>
      <c r="AB46" s="65"/>
      <c r="AC46" s="65"/>
      <c r="AD46" s="65"/>
      <c r="AE46" s="65"/>
      <c r="AF46" s="65"/>
      <c r="AG46" s="65"/>
      <c r="AH46" s="66"/>
      <c r="AI46" s="65"/>
      <c r="AK46" s="43"/>
    </row>
    <row r="47" spans="1:37" ht="13.5" thickBot="1">
      <c r="A47" s="2" t="s">
        <v>51</v>
      </c>
      <c r="B47" s="64">
        <f t="shared" si="0"/>
        <v>0</v>
      </c>
      <c r="C47" s="65"/>
      <c r="D47" s="65"/>
      <c r="E47" s="65"/>
      <c r="F47" s="65"/>
      <c r="G47" s="65"/>
      <c r="H47" s="65"/>
      <c r="I47" s="65"/>
      <c r="J47" s="66"/>
      <c r="K47" s="65"/>
      <c r="L47" s="65"/>
      <c r="M47" s="66"/>
      <c r="N47" s="65"/>
      <c r="O47" s="65"/>
      <c r="P47" s="65"/>
      <c r="Q47" s="65"/>
      <c r="R47" s="65"/>
      <c r="S47" s="65"/>
      <c r="T47" s="65"/>
      <c r="U47" s="65"/>
      <c r="V47" s="65"/>
      <c r="W47" s="66"/>
      <c r="X47" s="65"/>
      <c r="Y47" s="65"/>
      <c r="Z47" s="72"/>
      <c r="AA47" s="65"/>
      <c r="AB47" s="65"/>
      <c r="AC47" s="65"/>
      <c r="AD47" s="65"/>
      <c r="AE47" s="65"/>
      <c r="AF47" s="65"/>
      <c r="AG47" s="65"/>
      <c r="AH47" s="66"/>
      <c r="AI47" s="65"/>
      <c r="AK47" s="43"/>
    </row>
    <row r="48" spans="1:37" ht="13.5" thickBot="1">
      <c r="A48" s="2" t="s">
        <v>52</v>
      </c>
      <c r="B48" s="64">
        <f t="shared" si="0"/>
        <v>9</v>
      </c>
      <c r="C48" s="65"/>
      <c r="D48" s="65"/>
      <c r="E48" s="65"/>
      <c r="F48" s="65"/>
      <c r="G48" s="65"/>
      <c r="H48" s="65"/>
      <c r="I48" s="65"/>
      <c r="J48" s="66"/>
      <c r="K48" s="65"/>
      <c r="L48" s="65"/>
      <c r="M48" s="66"/>
      <c r="N48" s="65"/>
      <c r="O48" s="65"/>
      <c r="P48" s="65"/>
      <c r="Q48" s="65">
        <v>9</v>
      </c>
      <c r="R48" s="65"/>
      <c r="S48" s="65"/>
      <c r="T48" s="65"/>
      <c r="U48" s="65"/>
      <c r="V48" s="65"/>
      <c r="W48" s="66"/>
      <c r="X48" s="65"/>
      <c r="Y48" s="65"/>
      <c r="Z48" s="67"/>
      <c r="AA48" s="65"/>
      <c r="AB48" s="65"/>
      <c r="AC48" s="65"/>
      <c r="AD48" s="65"/>
      <c r="AE48" s="65"/>
      <c r="AF48" s="65"/>
      <c r="AG48" s="65"/>
      <c r="AH48" s="66"/>
      <c r="AI48" s="65"/>
      <c r="AK48" s="43"/>
    </row>
    <row r="49" spans="1:37" ht="13.5" thickBot="1">
      <c r="A49" s="2" t="s">
        <v>13</v>
      </c>
      <c r="B49" s="64">
        <f t="shared" si="0"/>
        <v>200</v>
      </c>
      <c r="C49" s="65"/>
      <c r="D49" s="65"/>
      <c r="E49" s="65"/>
      <c r="F49" s="65"/>
      <c r="G49" s="65"/>
      <c r="H49" s="65"/>
      <c r="I49" s="65"/>
      <c r="J49" s="66"/>
      <c r="K49" s="65"/>
      <c r="L49" s="65"/>
      <c r="M49" s="66"/>
      <c r="N49" s="65"/>
      <c r="O49" s="65"/>
      <c r="P49" s="65"/>
      <c r="Q49" s="65"/>
      <c r="R49" s="65">
        <v>200</v>
      </c>
      <c r="S49" s="65"/>
      <c r="T49" s="65"/>
      <c r="U49" s="65"/>
      <c r="V49" s="65"/>
      <c r="W49" s="66"/>
      <c r="X49" s="65"/>
      <c r="Y49" s="65"/>
      <c r="Z49" s="67"/>
      <c r="AA49" s="65"/>
      <c r="AB49" s="65"/>
      <c r="AC49" s="65"/>
      <c r="AD49" s="65"/>
      <c r="AE49" s="65"/>
      <c r="AF49" s="65"/>
      <c r="AG49" s="65"/>
      <c r="AH49" s="66"/>
      <c r="AI49" s="65"/>
      <c r="AK49" s="43"/>
    </row>
    <row r="50" spans="1:37" ht="13.5" thickBot="1">
      <c r="A50" s="2" t="s">
        <v>53</v>
      </c>
      <c r="B50" s="64">
        <f t="shared" si="0"/>
        <v>0</v>
      </c>
      <c r="C50" s="65"/>
      <c r="D50" s="65"/>
      <c r="E50" s="65"/>
      <c r="F50" s="65"/>
      <c r="G50" s="65"/>
      <c r="H50" s="65"/>
      <c r="I50" s="65"/>
      <c r="J50" s="66"/>
      <c r="K50" s="65"/>
      <c r="L50" s="65"/>
      <c r="M50" s="66"/>
      <c r="N50" s="65"/>
      <c r="O50" s="65"/>
      <c r="P50" s="65"/>
      <c r="Q50" s="65"/>
      <c r="R50" s="65"/>
      <c r="S50" s="65"/>
      <c r="T50" s="65"/>
      <c r="U50" s="65"/>
      <c r="V50" s="65"/>
      <c r="W50" s="66"/>
      <c r="X50" s="65"/>
      <c r="Y50" s="65"/>
      <c r="Z50" s="67"/>
      <c r="AA50" s="65"/>
      <c r="AB50" s="65"/>
      <c r="AC50" s="65"/>
      <c r="AD50" s="65"/>
      <c r="AE50" s="65"/>
      <c r="AF50" s="65"/>
      <c r="AG50" s="65"/>
      <c r="AH50" s="66"/>
      <c r="AI50" s="65"/>
      <c r="AK50" s="43"/>
    </row>
    <row r="51" spans="1:37" ht="13.5" customHeight="1" thickBot="1">
      <c r="A51" s="2" t="s">
        <v>115</v>
      </c>
      <c r="B51" s="64">
        <f t="shared" si="0"/>
        <v>181</v>
      </c>
      <c r="C51" s="2"/>
      <c r="D51" s="2">
        <v>181</v>
      </c>
      <c r="E51" s="2"/>
      <c r="F51" s="2"/>
      <c r="G51" s="2"/>
      <c r="H51" s="2"/>
      <c r="I51" s="2"/>
      <c r="J51" s="65"/>
      <c r="K51" s="2"/>
      <c r="L51" s="6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5"/>
      <c r="AI51" s="2"/>
    </row>
  </sheetData>
  <mergeCells count="20">
    <mergeCell ref="AA4:AH4"/>
    <mergeCell ref="C4:J4"/>
    <mergeCell ref="K4:L4"/>
    <mergeCell ref="N4:W4"/>
    <mergeCell ref="X4:Y4"/>
    <mergeCell ref="AC1:AI1"/>
    <mergeCell ref="B1:J1"/>
    <mergeCell ref="K1:L1"/>
    <mergeCell ref="N1:W1"/>
    <mergeCell ref="X1:Y1"/>
    <mergeCell ref="AB2:AH2"/>
    <mergeCell ref="B3:J3"/>
    <mergeCell ref="K3:L3"/>
    <mergeCell ref="N3:W3"/>
    <mergeCell ref="X3:Y3"/>
    <mergeCell ref="AB3:AH3"/>
    <mergeCell ref="B2:J2"/>
    <mergeCell ref="K2:L2"/>
    <mergeCell ref="N2:W2"/>
    <mergeCell ref="X2:Y2"/>
  </mergeCells>
  <phoneticPr fontId="4" type="noConversion"/>
  <pageMargins left="0.2" right="0.16" top="0.18" bottom="0.15" header="0.13" footer="0.11"/>
  <pageSetup paperSize="9"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1"/>
  <sheetViews>
    <sheetView zoomScale="75" workbookViewId="0">
      <selection activeCell="D5" sqref="D5"/>
    </sheetView>
  </sheetViews>
  <sheetFormatPr defaultRowHeight="12.75"/>
  <cols>
    <col min="1" max="1" width="23.42578125" customWidth="1"/>
    <col min="2" max="2" width="6.28515625" customWidth="1"/>
    <col min="3" max="3" width="5.5703125" customWidth="1"/>
    <col min="4" max="4" width="5.85546875" customWidth="1"/>
    <col min="5" max="5" width="5.42578125" customWidth="1"/>
    <col min="6" max="6" width="6.5703125" customWidth="1"/>
    <col min="7" max="7" width="6" customWidth="1"/>
    <col min="8" max="8" width="4.5703125" customWidth="1"/>
    <col min="9" max="9" width="4.28515625" customWidth="1"/>
    <col min="10" max="10" width="0.42578125" customWidth="1"/>
    <col min="11" max="11" width="6.42578125" customWidth="1"/>
    <col min="12" max="12" width="4.7109375" customWidth="1"/>
    <col min="13" max="13" width="1" customWidth="1"/>
    <col min="14" max="14" width="5.5703125" customWidth="1"/>
    <col min="15" max="15" width="6.5703125" customWidth="1"/>
    <col min="16" max="16" width="6.85546875" customWidth="1"/>
    <col min="17" max="17" width="5.28515625" customWidth="1"/>
    <col min="18" max="18" width="6.140625" customWidth="1"/>
    <col min="19" max="19" width="5.42578125" customWidth="1"/>
    <col min="20" max="20" width="6.42578125" customWidth="1"/>
    <col min="21" max="21" width="5.5703125" customWidth="1"/>
    <col min="22" max="22" width="0.42578125" customWidth="1"/>
    <col min="23" max="23" width="6.28515625" customWidth="1"/>
    <col min="24" max="24" width="5.42578125" customWidth="1"/>
    <col min="25" max="25" width="6.140625" customWidth="1"/>
    <col min="26" max="26" width="5.5703125" customWidth="1"/>
    <col min="27" max="27" width="6.140625" customWidth="1"/>
    <col min="28" max="28" width="5.28515625" customWidth="1"/>
    <col min="29" max="29" width="6" customWidth="1"/>
    <col min="30" max="31" width="6.140625" customWidth="1"/>
    <col min="32" max="32" width="1.140625" customWidth="1"/>
    <col min="33" max="33" width="4.42578125" customWidth="1"/>
    <col min="34" max="34" width="0.85546875" customWidth="1"/>
    <col min="35" max="35" width="6.7109375" customWidth="1"/>
  </cols>
  <sheetData>
    <row r="1" spans="1:44" ht="13.5" thickBot="1">
      <c r="A1" s="1" t="s">
        <v>75</v>
      </c>
      <c r="B1" s="83" t="s">
        <v>89</v>
      </c>
      <c r="C1" s="82"/>
      <c r="D1" s="82"/>
      <c r="E1" s="82"/>
      <c r="F1" s="82"/>
      <c r="G1" s="82"/>
      <c r="H1" s="82"/>
      <c r="I1" s="82"/>
      <c r="J1" s="84"/>
      <c r="K1" s="83"/>
      <c r="L1" s="84"/>
      <c r="M1" s="39"/>
      <c r="N1" s="83" t="s">
        <v>90</v>
      </c>
      <c r="O1" s="82"/>
      <c r="P1" s="82"/>
      <c r="Q1" s="82"/>
      <c r="R1" s="82"/>
      <c r="S1" s="82"/>
      <c r="T1" s="82"/>
      <c r="U1" s="82"/>
      <c r="V1" s="84"/>
      <c r="W1" s="83">
        <v>15</v>
      </c>
      <c r="X1" s="82"/>
      <c r="Y1" s="39"/>
      <c r="Z1" s="38"/>
      <c r="AA1" s="37"/>
      <c r="AB1" s="82"/>
      <c r="AC1" s="82"/>
      <c r="AD1" s="82"/>
      <c r="AE1" s="82"/>
      <c r="AF1" s="82"/>
      <c r="AG1" s="82"/>
      <c r="AH1" s="82"/>
      <c r="AI1" s="39">
        <f>AI3*100/B7</f>
        <v>0</v>
      </c>
    </row>
    <row r="2" spans="1:44" ht="26.25" thickBot="1">
      <c r="A2" s="1" t="s">
        <v>4</v>
      </c>
      <c r="B2" s="77">
        <f>B3*100/2350</f>
        <v>20.717816170212767</v>
      </c>
      <c r="C2" s="73"/>
      <c r="D2" s="73"/>
      <c r="E2" s="73"/>
      <c r="F2" s="73"/>
      <c r="G2" s="73"/>
      <c r="H2" s="73"/>
      <c r="I2" s="73"/>
      <c r="J2" s="78"/>
      <c r="K2" s="77">
        <f>K3*100/B7</f>
        <v>0</v>
      </c>
      <c r="L2" s="78"/>
      <c r="M2" s="10"/>
      <c r="N2" s="77">
        <f>N3*100/2350</f>
        <v>34.21499659574468</v>
      </c>
      <c r="O2" s="73"/>
      <c r="P2" s="73"/>
      <c r="Q2" s="73"/>
      <c r="R2" s="73"/>
      <c r="S2" s="73"/>
      <c r="T2" s="73"/>
      <c r="U2" s="73"/>
      <c r="V2" s="78"/>
      <c r="W2" s="77">
        <f>W3*100/1970</f>
        <v>0</v>
      </c>
      <c r="X2" s="73"/>
      <c r="Y2" s="10"/>
      <c r="Z2" s="9"/>
      <c r="AA2" s="73">
        <f>AA3*100/B7</f>
        <v>0</v>
      </c>
      <c r="AB2" s="73"/>
      <c r="AC2" s="73"/>
      <c r="AD2" s="73"/>
      <c r="AE2" s="73"/>
      <c r="AF2" s="73"/>
      <c r="AG2" s="73"/>
      <c r="AH2" s="73"/>
      <c r="AI2" s="10">
        <f>AI3*100/B7</f>
        <v>0</v>
      </c>
    </row>
    <row r="3" spans="1:44" ht="13.5" thickBot="1">
      <c r="A3" s="2" t="s">
        <v>5</v>
      </c>
      <c r="B3" s="74">
        <f>C7+D7+E7+F7+G7+H7+I7+J7</f>
        <v>486.86868000000004</v>
      </c>
      <c r="C3" s="75"/>
      <c r="D3" s="75"/>
      <c r="E3" s="75"/>
      <c r="F3" s="75"/>
      <c r="G3" s="75"/>
      <c r="H3" s="75"/>
      <c r="I3" s="75"/>
      <c r="J3" s="76"/>
      <c r="K3" s="74">
        <f>K7+L7</f>
        <v>0</v>
      </c>
      <c r="L3" s="76"/>
      <c r="M3" s="11"/>
      <c r="N3" s="74">
        <f>N7+O7+P7+Q7+R7+S7+T7+U7+V7</f>
        <v>804.05241999999998</v>
      </c>
      <c r="O3" s="75"/>
      <c r="P3" s="75"/>
      <c r="Q3" s="75"/>
      <c r="R3" s="75"/>
      <c r="S3" s="75"/>
      <c r="T3" s="75"/>
      <c r="U3" s="75"/>
      <c r="V3" s="76"/>
      <c r="W3" s="77">
        <f>W7+X7+Y7+Z7</f>
        <v>0</v>
      </c>
      <c r="X3" s="75"/>
      <c r="Y3" s="11"/>
      <c r="Z3" s="12"/>
      <c r="AA3" s="75"/>
      <c r="AB3" s="75"/>
      <c r="AC3" s="75"/>
      <c r="AD3" s="75"/>
      <c r="AE3" s="75"/>
      <c r="AF3" s="75"/>
      <c r="AG3" s="75"/>
      <c r="AH3" s="75"/>
      <c r="AI3" s="11">
        <f>AI7</f>
        <v>0</v>
      </c>
    </row>
    <row r="4" spans="1:44" ht="15" customHeight="1" thickBot="1">
      <c r="A4" s="2"/>
      <c r="B4" s="3"/>
      <c r="C4" s="79" t="s">
        <v>1</v>
      </c>
      <c r="D4" s="80"/>
      <c r="E4" s="80"/>
      <c r="F4" s="80"/>
      <c r="G4" s="80"/>
      <c r="H4" s="80"/>
      <c r="I4" s="80"/>
      <c r="J4" s="81"/>
      <c r="K4" s="79" t="s">
        <v>6</v>
      </c>
      <c r="L4" s="81"/>
      <c r="M4" s="3"/>
      <c r="N4" s="79" t="s">
        <v>7</v>
      </c>
      <c r="O4" s="80"/>
      <c r="P4" s="80"/>
      <c r="Q4" s="80"/>
      <c r="R4" s="80"/>
      <c r="S4" s="80"/>
      <c r="T4" s="80"/>
      <c r="U4" s="80"/>
      <c r="V4" s="81"/>
      <c r="W4" s="79" t="s">
        <v>8</v>
      </c>
      <c r="X4" s="80"/>
      <c r="Y4" s="3"/>
      <c r="Z4" s="79" t="s">
        <v>9</v>
      </c>
      <c r="AA4" s="80"/>
      <c r="AB4" s="80"/>
      <c r="AC4" s="80"/>
      <c r="AD4" s="80"/>
      <c r="AE4" s="80"/>
      <c r="AF4" s="80"/>
      <c r="AG4" s="80"/>
      <c r="AH4" s="80"/>
      <c r="AI4" s="3" t="s">
        <v>10</v>
      </c>
    </row>
    <row r="5" spans="1:44" ht="135" customHeight="1" thickBot="1">
      <c r="A5" s="2" t="s">
        <v>85</v>
      </c>
      <c r="B5" s="5" t="s">
        <v>11</v>
      </c>
      <c r="C5" s="72" t="s">
        <v>126</v>
      </c>
      <c r="D5" s="72" t="s">
        <v>96</v>
      </c>
      <c r="E5" s="40" t="s">
        <v>2</v>
      </c>
      <c r="F5" s="5" t="s">
        <v>136</v>
      </c>
      <c r="G5" s="5"/>
      <c r="H5" s="5"/>
      <c r="I5" s="58"/>
      <c r="J5" s="27"/>
      <c r="K5" s="5"/>
      <c r="L5" s="5"/>
      <c r="M5" s="27"/>
      <c r="N5" s="72" t="s">
        <v>95</v>
      </c>
      <c r="O5" s="72" t="s">
        <v>109</v>
      </c>
      <c r="P5" s="72" t="s">
        <v>127</v>
      </c>
      <c r="Q5" s="72" t="s">
        <v>108</v>
      </c>
      <c r="R5" s="5" t="s">
        <v>2</v>
      </c>
      <c r="S5" s="5" t="s">
        <v>102</v>
      </c>
      <c r="T5" s="5"/>
      <c r="U5" s="5"/>
      <c r="V5" s="27"/>
      <c r="W5" s="5"/>
      <c r="X5" s="5"/>
      <c r="Y5" s="35"/>
      <c r="Z5" s="5"/>
      <c r="AA5" s="40"/>
      <c r="AB5" s="5"/>
      <c r="AC5" s="5"/>
      <c r="AD5" s="40"/>
      <c r="AE5" s="5"/>
      <c r="AF5" s="5"/>
      <c r="AG5" s="52"/>
      <c r="AH5" s="50"/>
      <c r="AI5" s="40"/>
      <c r="AK5" s="47"/>
      <c r="AL5" s="44"/>
      <c r="AM5" s="47"/>
      <c r="AN5" s="47"/>
      <c r="AO5" s="47"/>
      <c r="AP5" s="44"/>
      <c r="AQ5" s="44"/>
      <c r="AR5" s="48"/>
    </row>
    <row r="6" spans="1:44" ht="13.5" thickBot="1">
      <c r="A6" s="2" t="s">
        <v>15</v>
      </c>
      <c r="B6" s="24"/>
      <c r="C6" s="4">
        <v>100</v>
      </c>
      <c r="D6" s="4">
        <v>200</v>
      </c>
      <c r="E6" s="4">
        <v>20</v>
      </c>
      <c r="F6" s="4">
        <v>170</v>
      </c>
      <c r="G6" s="4"/>
      <c r="H6" s="4"/>
      <c r="I6" s="4"/>
      <c r="J6" s="28"/>
      <c r="K6" s="4"/>
      <c r="L6" s="4"/>
      <c r="M6" s="28"/>
      <c r="N6" s="4">
        <v>60</v>
      </c>
      <c r="O6" s="4">
        <v>200</v>
      </c>
      <c r="P6" s="4">
        <v>150</v>
      </c>
      <c r="Q6" s="4">
        <v>200</v>
      </c>
      <c r="R6" s="4">
        <v>50</v>
      </c>
      <c r="S6" s="4">
        <v>40</v>
      </c>
      <c r="T6" s="4"/>
      <c r="U6" s="4"/>
      <c r="V6" s="28"/>
      <c r="W6" s="4"/>
      <c r="X6" s="4"/>
      <c r="Y6" s="24"/>
      <c r="Z6" s="4"/>
      <c r="AA6" s="4"/>
      <c r="AB6" s="4"/>
      <c r="AC6" s="4"/>
      <c r="AD6" s="4"/>
      <c r="AE6" s="4"/>
      <c r="AF6" s="4"/>
      <c r="AG6" s="1"/>
      <c r="AH6" s="31"/>
      <c r="AI6" s="4"/>
      <c r="AK6" s="45"/>
      <c r="AL6" s="45"/>
      <c r="AM6" s="45"/>
      <c r="AN6" s="45"/>
      <c r="AO6" s="45"/>
      <c r="AP6" s="45"/>
      <c r="AQ6" s="45"/>
      <c r="AR6" s="45"/>
    </row>
    <row r="7" spans="1:44" ht="13.5" thickBot="1">
      <c r="A7" s="2" t="s">
        <v>0</v>
      </c>
      <c r="B7" s="8">
        <f>C7+D7+E7+F7+G7+H7+I7+J7+K7+L7+M7+N7+O7+P7+Q7+R7+S7+T7+U7+V7+W7+X7+Y7+Z7+AA7+AB7+AC7+AD7+AE7+AF7+AG7+AI7</f>
        <v>1290.9211000000003</v>
      </c>
      <c r="C7" s="8">
        <f t="shared" ref="C7:I7" si="0">C8*1.1928+C9*1.1928+C10*1.3875+C11*1.1928+C12*3.01+C13*3.01+C14*0.783+C15*7.09+C16*8.99+C17*0.52+C18*1.18+C19*1.56+C20*3.6+C21*1.3659+C22*3.34+C23*3.68+C24*3.314+C25*3.314+C26*3.314+C27*3.314+C28*3.314+C29*3.314+C30*3.314+C31*3.314+C32*3.74+C34*3.558+C35*0.466+C36*0.396+C37*0.56+C38*0.2744+C39*0.2744+C40*0.2744+C41*0.2744+C42*0.2744+C43*0.2744+C44*2.26+C45*1.81+C46*3.78+C49*0.31+C50*3.69</f>
        <v>241.32867999999999</v>
      </c>
      <c r="D7" s="8">
        <f>D8*1.1928+D9*1.1928+D10*1.3875+D11*1.1928+D12*3.01+D13*3.01+D14*0.783+D15*7.09+D16*8.99+D17*0.52+D18*1.18+D19*1.56+D20*3.6+D21*1.3659+D22*3.34+D23*3.68+D24*3.314+D25*3.314+D26*3.314+D27*3.314+D28*3.314+D29*3.314+D30*3.314+D31*3.314+D32*3.74+D34*3.558+D35*0.466+D36*0.396+D37*0.56+D38*0.2744+D39*0.2744+D40*0.2744+D41*0.2744+D42*0.2744+D43*0.2744+D44*2.26+D45*1.81+D46*3.78+D49*0.31+D50*3.69</f>
        <v>131.04000000000002</v>
      </c>
      <c r="E7" s="8">
        <f>E8*1.1928+E9*1.1928+E10*1.3875+E11*1.1928+E12*3.01+E13*3.01+E14*0.783+E15*7.09+E16*8.99+E17*0.52+E18*1.18+E19*1.56+E20*3.6+E21*1.3659+E22*3.34+E23*3.68+E24*3.314+E25*3.314+E26*3.314+E27*3.314+E28*3.314+E29*3.314+E30*3.314+E31*3.314+E32*3.74+E34*3.558+E35*0.466+E36*0.396+E37*0.56+E38*0.2744+E39*0.2744+E40*0.2744+E41*0.2744+E42*0.2744+E43*0.2744+E44*2.26+E45*1.81+E46*3.78+E49*0.31+E50*3.69</f>
        <v>45.199999999999996</v>
      </c>
      <c r="F7" s="8">
        <f>F8*1.1928+F9*1.1928+F10*1.3875+F11*1.1928+F12*3.01+F13*3.01+F14*0.783+F15*7.09+F16*8.99+F17*0.52+F18*1.18+F19*1.56+F20*3.6+F21*1.3659+F22*3.34+F23*3.68+F24*3.314+F25*3.314+F26*3.314+F27*3.314+F28*3.314+F29*3.314+F30*3.314+F31*3.314+F32*3.74+F34*3.558+F35*0.466+F36*0.396+F37*0.56+F38*0.2744+F39*0.2744+F40*0.2744+F41*0.2744+F42*0.2744+F43*0.2744+F44*2.26+F45*1.81+F46*3.78+F49*0.31+F50*3.69</f>
        <v>69.3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29"/>
      <c r="K7" s="8">
        <f>K8*1.1928+K9*1.1928+K10*1.3875+K11*1.1928+K12*3.01+K13*3.01+K14*0.783+K15*7.09+K16*8.99+K17*0.52+K18*1.18+K19*1.56+K20*3.6+K21*1.3659+K22*3.34+K23*3.68+K24*3.314+K25*3.314+K26*3.314+K27*3.314+K28*3.314+K29*3.314+K30*3.314+K31*3.314+K32*3.74+K34*3.558+K35*0.466+K36*0.396+K37*0.56+K38*0.2744+K39*0.2744+K40*0.2744+K41*0.2744+K42*0.2744+K43*0.2744+K44*2.26+K45*1.81+K46*3.78+K49*0.31+K50*3.69</f>
        <v>0</v>
      </c>
      <c r="L7" s="8">
        <f>L8*1.1928+L9*1.1928+L10*1.3875+L11*1.1928+L12*3.01+L13*3.01+L14*0.783+L15*7.09+L16*8.99+L17*0.52+L18*1.18+L19*1.56+L20*3.6+L21*1.3659+L22*3.34+L23*3.68+L24*3.314+L25*3.314+L26*3.314+L27*3.314+L28*3.314+L29*3.314+L30*3.314+L31*3.314+L32*3.74+L34*3.558+L35*0.466+L36*0.396+L37*0.56+L38*0.2744+L39*0.2744+L40*0.2744+L41*0.2744+L42*0.2744+L43*0.2744+L44*2.26+L45*1.81+L46*3.78+L49*0.31+L50*3.69</f>
        <v>0</v>
      </c>
      <c r="M7" s="29"/>
      <c r="N7" s="8">
        <f>N8*1.1928+N9*1.1928+N10*1.3875+N11*1.1928+N12*3.01+N13*3.01+N14*0.783+N15*7.09+N16*8.99+N17*0.52+N18*1.18+N19*1.56+N20*3.6+N21*1.3659+N22*3.34+N23*3.68+N24*3.314+N25*3.314+N26*3.314+N27*3.314+N28*3.314+N29*3.314+N30*3.314+N31*3.314+N32*3.74+N34*3.558+N35*0.466+N36*0.396+N37*0.56+N38*0.2744+N39*0.2744+N40*0.2744+N41*0.2744+N42*0.2744+N43*0.2744+N44*2.26+N45*1.81+N46*3.78+N49*0.31+N50*3.69</f>
        <v>104.38759999999999</v>
      </c>
      <c r="O7" s="8">
        <f>O8*1.1928+O9*1.1928+O10*1.3875+O11*1.1928+O12*3.01+O13*3.01+O14*0.783+O15*7.09+O16*8.99+O17*0.52+O18*1.18+O19*1.56+O20*3.6+O21*1.3659+O22*3.34+O23*3.68+O24*3.314+O25*3.314+O26*3.314+O27*3.314+O28*3.314+O29*3.314+O30*3.314+O31*3.314+O32*3.74+O34*3.558+O35*0.466+O36*0.396+O37*0.56+O38*0.2744+O39*0.2744+O40*0.2744+O41*0.2744+O42*0.2744+O43*0.2744+O44*2.26+O45*1.81+O46*3.78+O49*0.31+O50*3.69</f>
        <v>103.75872</v>
      </c>
      <c r="P7" s="8">
        <f t="shared" ref="P7:U7" si="1">P8*1.1928+P9*1.1928+P10*1.3875+P11*1.1928+P12*3.01+P13*3.01+P14*0.783+P15*7.09+P16*8.99+P17*0.52+P18*1.18+P19*1.56+P20*3.6+P21*1.3659+P22*3.34+P23*3.68+P24*3.314+P25*3.314+P26*3.314+P27*3.314+P28*3.314+P29*3.314+P30*3.314+P31*3.314+P32*3.74+P34*3.558+P35*0.466+P36*0.396+P37*0.56+P38*0.2744+P39*0.2744+P40*0.2744+P41*0.2744+P42*0.2744+P43*0.2744+P44*2.26+P45*1.81+P46*3.78+P49*0.31+P50*3.69</f>
        <v>326.38610000000006</v>
      </c>
      <c r="Q7" s="8">
        <f t="shared" si="1"/>
        <v>84.12</v>
      </c>
      <c r="R7" s="8">
        <f t="shared" si="1"/>
        <v>112.99999999999999</v>
      </c>
      <c r="S7" s="8">
        <f t="shared" si="1"/>
        <v>72.400000000000006</v>
      </c>
      <c r="T7" s="8">
        <f t="shared" si="1"/>
        <v>0</v>
      </c>
      <c r="U7" s="8">
        <f t="shared" si="1"/>
        <v>0</v>
      </c>
      <c r="V7" s="29"/>
      <c r="W7" s="8"/>
      <c r="X7" s="8"/>
      <c r="Y7" s="8">
        <f>Y8*1.1928+Y9*1.1928+Y10*1.3875+Y11*1.1928+Y12*3.01+Y13*3.01+Y14*0.783+Y15*7.09+Y16*8.99+Y17*0.52+Y18*1.18+Y19*1.56+Y20*3.6+Y21*1.3659+Y22*3.34+Y23*3.68+Y24*3.314+Y25*3.314+Y26*3.314+Y27*3.314+Y28*3.314+Y29*3.314+Y30*3.314+Y31*3.314+Y32*3.74+Y34*3.558+Y35*0.466+Y36*0.396+Y37*0.56+Y38*0.2744+Y39*0.2744+Y40*0.2744+Y41*0.2744+Y42*0.2744+Y43*0.2744+Y44*2.26+Y45*1.81+Y46*3.78+Y49*0.31+Y50*3.69</f>
        <v>0</v>
      </c>
      <c r="Z7" s="8">
        <f t="shared" ref="Z7:AG7" si="2">Z8*1.1928+Z9*1.1928+Z10*1.3875+Z11*1.1928+Z12*3.01+Z13*3.01+Z14*0.783+Z15*7.09+Z16*8.99+Z17*0.52+Z18*1.18+Z19*1.56+Z20*3.6+Z21*1.3659+Z22*3.34+Z23*3.68+Z24*3.314+Z25*3.314+Z26*3.314+Z27*3.314+Z28*3.314+Z29*3.314+Z30*3.314+Z31*3.314+Z32*3.74+Z34*3.558+Z35*0.466+Z36*0.396+Z37*0.56+Z38*0.2744+Z39*0.2744+Z40*0.2744+Z41*0.2744+Z42*0.2744+Z43*0.2744+Z44*2.26+Z45*1.81+Z46*3.78+Z49*0.31+Z50*3.69</f>
        <v>0</v>
      </c>
      <c r="AA7" s="8">
        <f t="shared" si="2"/>
        <v>0</v>
      </c>
      <c r="AB7" s="8">
        <f t="shared" si="2"/>
        <v>0</v>
      </c>
      <c r="AC7" s="8">
        <f t="shared" si="2"/>
        <v>0</v>
      </c>
      <c r="AD7" s="8">
        <f t="shared" si="2"/>
        <v>0</v>
      </c>
      <c r="AE7" s="8">
        <f t="shared" si="2"/>
        <v>0</v>
      </c>
      <c r="AF7" s="8">
        <f t="shared" si="2"/>
        <v>0</v>
      </c>
      <c r="AG7" s="8">
        <f t="shared" si="2"/>
        <v>0</v>
      </c>
      <c r="AH7" s="31"/>
      <c r="AI7" s="8">
        <f>AI8*1.1928+AI9*1.1928+AI10*1.3875+AI11*1.1928+AI12*3.01+AI13*3.01+AI14*0.783+AI15*7.09+AI16*8.99+AI17*0.52+AI18*1.18+AI19*1.56+AI20*3.6+AI21*1.3659+AI22*3.34+AI23*3.68+AI24*3.314+AI25*3.314+AI26*3.314+AI27*3.314+AI28*3.314+AI29*3.314+AI30*3.314+AI31*3.314+AI32*3.74+AI34*3.558+AI35*0.466+AI36*0.396+AI37*0.56+AI38*0.2744+AI39*0.2744+AI40*0.2744+AI41*0.2744+AI42*0.2744+AI43*0.2744+AI44*2.26+AI45*1.81+AI46*3.78+AI49*0.31+AI50*3.69</f>
        <v>0</v>
      </c>
      <c r="AK7" s="46"/>
      <c r="AL7" s="46"/>
      <c r="AM7" s="46"/>
      <c r="AN7" s="46"/>
      <c r="AO7" s="46"/>
      <c r="AP7" s="46"/>
      <c r="AQ7" s="46"/>
      <c r="AR7" s="46"/>
    </row>
    <row r="8" spans="1:44" ht="13.5" thickBot="1">
      <c r="A8" s="2" t="s">
        <v>16</v>
      </c>
      <c r="B8" s="8">
        <f t="shared" ref="B8:B50" si="3">C8+D8+E8+F8+G8+H8+I8+J8+K8+L8+M8+N8+O8+P8+Q8+R8+S8+T8+U8+V8+W8+X8+Y8+Z8+AA8+AB8+AC8+AD8+AE8+AG8+AH8+AI8</f>
        <v>0</v>
      </c>
      <c r="C8" s="6"/>
      <c r="D8" s="65"/>
      <c r="E8" s="65"/>
      <c r="F8" s="65"/>
      <c r="G8" s="6"/>
      <c r="H8" s="6"/>
      <c r="I8" s="6"/>
      <c r="J8" s="29"/>
      <c r="K8" s="65"/>
      <c r="L8" s="6"/>
      <c r="M8" s="29"/>
      <c r="N8" s="65"/>
      <c r="O8" s="65"/>
      <c r="P8" s="6"/>
      <c r="Q8" s="65"/>
      <c r="R8" s="65"/>
      <c r="S8" s="65"/>
      <c r="T8" s="6"/>
      <c r="U8" s="6"/>
      <c r="V8" s="29"/>
      <c r="W8" s="6"/>
      <c r="X8" s="6"/>
      <c r="Y8" s="36"/>
      <c r="Z8" s="6"/>
      <c r="AA8" s="6"/>
      <c r="AB8" s="6"/>
      <c r="AC8" s="6"/>
      <c r="AD8" s="6"/>
      <c r="AE8" s="6"/>
      <c r="AF8" s="6"/>
      <c r="AG8" s="6"/>
      <c r="AH8" s="29"/>
      <c r="AI8" s="6"/>
      <c r="AK8" s="43"/>
      <c r="AL8" s="43"/>
      <c r="AM8" s="43"/>
      <c r="AN8" s="43"/>
      <c r="AO8" s="43"/>
      <c r="AP8" s="43"/>
      <c r="AQ8" s="43"/>
      <c r="AR8" s="43"/>
    </row>
    <row r="9" spans="1:44" ht="13.5" thickBot="1">
      <c r="A9" s="2" t="s">
        <v>17</v>
      </c>
      <c r="B9" s="8">
        <f t="shared" si="3"/>
        <v>0</v>
      </c>
      <c r="C9" s="6"/>
      <c r="D9" s="65"/>
      <c r="E9" s="65"/>
      <c r="F9" s="65"/>
      <c r="G9" s="6"/>
      <c r="H9" s="6"/>
      <c r="I9" s="6"/>
      <c r="J9" s="29"/>
      <c r="K9" s="65"/>
      <c r="L9" s="6"/>
      <c r="M9" s="29"/>
      <c r="N9" s="65"/>
      <c r="O9" s="65"/>
      <c r="P9" s="6"/>
      <c r="Q9" s="65"/>
      <c r="R9" s="65"/>
      <c r="S9" s="65"/>
      <c r="T9" s="6"/>
      <c r="U9" s="6"/>
      <c r="V9" s="29"/>
      <c r="W9" s="6"/>
      <c r="X9" s="6"/>
      <c r="Y9" s="36"/>
      <c r="Z9" s="6"/>
      <c r="AA9" s="6"/>
      <c r="AB9" s="6"/>
      <c r="AC9" s="6"/>
      <c r="AD9" s="6"/>
      <c r="AE9" s="6"/>
      <c r="AF9" s="6"/>
      <c r="AG9" s="6"/>
      <c r="AH9" s="29"/>
      <c r="AI9" s="6"/>
      <c r="AK9" s="43"/>
      <c r="AL9" s="43"/>
      <c r="AM9" s="43"/>
      <c r="AN9" s="43"/>
      <c r="AO9" s="43"/>
      <c r="AP9" s="43"/>
      <c r="AQ9" s="43"/>
      <c r="AR9" s="43"/>
    </row>
    <row r="10" spans="1:44" ht="13.5" thickBot="1">
      <c r="A10" s="2" t="s">
        <v>18</v>
      </c>
      <c r="B10" s="8">
        <f t="shared" si="3"/>
        <v>107</v>
      </c>
      <c r="C10" s="6"/>
      <c r="D10" s="65"/>
      <c r="E10" s="65"/>
      <c r="F10" s="65"/>
      <c r="G10" s="6"/>
      <c r="H10" s="6"/>
      <c r="I10" s="6"/>
      <c r="J10" s="29"/>
      <c r="K10" s="65"/>
      <c r="L10" s="6"/>
      <c r="M10" s="29"/>
      <c r="N10" s="65"/>
      <c r="O10" s="65"/>
      <c r="P10" s="6">
        <v>107</v>
      </c>
      <c r="Q10" s="65"/>
      <c r="R10" s="65"/>
      <c r="S10" s="65"/>
      <c r="T10" s="6"/>
      <c r="U10" s="6"/>
      <c r="V10" s="29"/>
      <c r="W10" s="6"/>
      <c r="X10" s="6"/>
      <c r="Y10" s="36"/>
      <c r="Z10" s="6"/>
      <c r="AA10" s="6"/>
      <c r="AB10" s="6"/>
      <c r="AC10" s="6"/>
      <c r="AD10" s="6"/>
      <c r="AE10" s="6"/>
      <c r="AF10" s="6"/>
      <c r="AG10" s="6"/>
      <c r="AH10" s="29"/>
      <c r="AI10" s="6"/>
      <c r="AK10" s="43"/>
      <c r="AL10" s="43"/>
      <c r="AM10" s="43"/>
      <c r="AN10" s="43"/>
      <c r="AO10" s="43"/>
      <c r="AP10" s="43"/>
      <c r="AQ10" s="43"/>
      <c r="AR10" s="43"/>
    </row>
    <row r="11" spans="1:44" ht="13.5" thickBot="1">
      <c r="A11" s="2" t="s">
        <v>19</v>
      </c>
      <c r="B11" s="8">
        <f t="shared" si="3"/>
        <v>0</v>
      </c>
      <c r="C11" s="6"/>
      <c r="D11" s="65"/>
      <c r="E11" s="65"/>
      <c r="F11" s="65"/>
      <c r="G11" s="6"/>
      <c r="H11" s="6"/>
      <c r="I11" s="6"/>
      <c r="J11" s="29"/>
      <c r="K11" s="65"/>
      <c r="L11" s="6"/>
      <c r="M11" s="29"/>
      <c r="N11" s="65"/>
      <c r="O11" s="65"/>
      <c r="P11" s="6"/>
      <c r="Q11" s="65"/>
      <c r="R11" s="65"/>
      <c r="S11" s="65"/>
      <c r="T11" s="6"/>
      <c r="U11" s="6"/>
      <c r="V11" s="29"/>
      <c r="W11" s="6"/>
      <c r="X11" s="6"/>
      <c r="Y11" s="36"/>
      <c r="Z11" s="6"/>
      <c r="AA11" s="6"/>
      <c r="AB11" s="6"/>
      <c r="AC11" s="6"/>
      <c r="AD11" s="6"/>
      <c r="AE11" s="6"/>
      <c r="AF11" s="6"/>
      <c r="AG11" s="6"/>
      <c r="AH11" s="29"/>
      <c r="AI11" s="6"/>
      <c r="AK11" s="43"/>
      <c r="AL11" s="43"/>
      <c r="AM11" s="43"/>
      <c r="AN11" s="43"/>
      <c r="AO11" s="43"/>
      <c r="AP11" s="43"/>
      <c r="AQ11" s="43"/>
      <c r="AR11" s="43"/>
    </row>
    <row r="12" spans="1:44" ht="13.5" thickBot="1">
      <c r="A12" s="2" t="s">
        <v>20</v>
      </c>
      <c r="B12" s="8">
        <f t="shared" si="3"/>
        <v>0</v>
      </c>
      <c r="C12" s="6"/>
      <c r="D12" s="65"/>
      <c r="E12" s="65"/>
      <c r="F12" s="65"/>
      <c r="G12" s="6"/>
      <c r="H12" s="6"/>
      <c r="I12" s="6"/>
      <c r="J12" s="29"/>
      <c r="K12" s="65"/>
      <c r="L12" s="6"/>
      <c r="M12" s="29"/>
      <c r="N12" s="65"/>
      <c r="O12" s="65"/>
      <c r="P12" s="6"/>
      <c r="Q12" s="65"/>
      <c r="R12" s="65"/>
      <c r="S12" s="65"/>
      <c r="T12" s="6"/>
      <c r="U12" s="6"/>
      <c r="V12" s="29"/>
      <c r="W12" s="6"/>
      <c r="X12" s="6"/>
      <c r="Y12" s="36"/>
      <c r="Z12" s="6"/>
      <c r="AA12" s="6"/>
      <c r="AB12" s="6"/>
      <c r="AC12" s="6"/>
      <c r="AD12" s="6"/>
      <c r="AE12" s="6"/>
      <c r="AF12" s="6"/>
      <c r="AG12" s="6"/>
      <c r="AH12" s="29"/>
      <c r="AI12" s="6"/>
      <c r="AK12" s="43"/>
      <c r="AL12" s="43"/>
      <c r="AM12" s="43"/>
      <c r="AN12" s="43"/>
      <c r="AO12" s="43"/>
      <c r="AP12" s="43"/>
      <c r="AQ12" s="43"/>
      <c r="AR12" s="43"/>
    </row>
    <row r="13" spans="1:44" ht="13.5" thickBot="1">
      <c r="A13" s="2" t="s">
        <v>21</v>
      </c>
      <c r="B13" s="8">
        <f t="shared" si="3"/>
        <v>0</v>
      </c>
      <c r="C13" s="6"/>
      <c r="D13" s="65"/>
      <c r="E13" s="65"/>
      <c r="F13" s="65"/>
      <c r="G13" s="6"/>
      <c r="H13" s="6"/>
      <c r="I13" s="6"/>
      <c r="J13" s="29"/>
      <c r="K13" s="65"/>
      <c r="L13" s="6"/>
      <c r="M13" s="29"/>
      <c r="N13" s="65"/>
      <c r="O13" s="65"/>
      <c r="P13" s="6"/>
      <c r="Q13" s="65"/>
      <c r="R13" s="65"/>
      <c r="S13" s="65"/>
      <c r="T13" s="6"/>
      <c r="U13" s="6"/>
      <c r="V13" s="29"/>
      <c r="W13" s="6"/>
      <c r="X13" s="6"/>
      <c r="Y13" s="36"/>
      <c r="Z13" s="6"/>
      <c r="AA13" s="6"/>
      <c r="AB13" s="6"/>
      <c r="AC13" s="6"/>
      <c r="AD13" s="6"/>
      <c r="AE13" s="6"/>
      <c r="AF13" s="6"/>
      <c r="AG13" s="6"/>
      <c r="AH13" s="29"/>
      <c r="AI13" s="6"/>
      <c r="AK13" s="43"/>
      <c r="AL13" s="43"/>
      <c r="AM13" s="43"/>
      <c r="AN13" s="43"/>
      <c r="AO13" s="43"/>
      <c r="AP13" s="43"/>
      <c r="AQ13" s="43"/>
      <c r="AR13" s="43"/>
    </row>
    <row r="14" spans="1:44" ht="13.5" thickBot="1">
      <c r="A14" s="2" t="s">
        <v>22</v>
      </c>
      <c r="B14" s="8">
        <f t="shared" si="3"/>
        <v>0</v>
      </c>
      <c r="C14" s="6"/>
      <c r="D14" s="65"/>
      <c r="E14" s="65"/>
      <c r="F14" s="65"/>
      <c r="G14" s="6"/>
      <c r="H14" s="6"/>
      <c r="I14" s="6"/>
      <c r="J14" s="29"/>
      <c r="K14" s="65"/>
      <c r="L14" s="6"/>
      <c r="M14" s="29"/>
      <c r="N14" s="65"/>
      <c r="O14" s="65"/>
      <c r="P14" s="6"/>
      <c r="Q14" s="65"/>
      <c r="R14" s="65"/>
      <c r="S14" s="65"/>
      <c r="T14" s="6"/>
      <c r="U14" s="6"/>
      <c r="V14" s="29"/>
      <c r="W14" s="6"/>
      <c r="X14" s="6"/>
      <c r="Y14" s="36"/>
      <c r="Z14" s="6"/>
      <c r="AA14" s="6"/>
      <c r="AB14" s="6"/>
      <c r="AC14" s="6"/>
      <c r="AD14" s="6"/>
      <c r="AE14" s="6"/>
      <c r="AF14" s="6"/>
      <c r="AG14" s="6"/>
      <c r="AH14" s="29"/>
      <c r="AI14" s="6"/>
      <c r="AK14" s="43"/>
      <c r="AL14" s="43"/>
      <c r="AM14" s="43"/>
      <c r="AN14" s="43"/>
      <c r="AO14" s="43"/>
      <c r="AP14" s="43"/>
      <c r="AQ14" s="43"/>
      <c r="AR14" s="43"/>
    </row>
    <row r="15" spans="1:44" ht="13.5" thickBot="1">
      <c r="A15" s="2" t="s">
        <v>23</v>
      </c>
      <c r="B15" s="8">
        <f t="shared" si="3"/>
        <v>16</v>
      </c>
      <c r="C15" s="6">
        <v>4</v>
      </c>
      <c r="D15" s="65"/>
      <c r="E15" s="65"/>
      <c r="F15" s="65"/>
      <c r="G15" s="6"/>
      <c r="H15" s="6"/>
      <c r="I15" s="6"/>
      <c r="J15" s="29"/>
      <c r="K15" s="65"/>
      <c r="L15" s="6"/>
      <c r="M15" s="29"/>
      <c r="N15" s="65"/>
      <c r="O15" s="65">
        <v>4</v>
      </c>
      <c r="P15" s="6">
        <v>8</v>
      </c>
      <c r="Q15" s="65"/>
      <c r="R15" s="65"/>
      <c r="S15" s="65"/>
      <c r="T15" s="6"/>
      <c r="U15" s="6"/>
      <c r="V15" s="29"/>
      <c r="W15" s="6"/>
      <c r="X15" s="6"/>
      <c r="Y15" s="36"/>
      <c r="Z15" s="6"/>
      <c r="AA15" s="6"/>
      <c r="AB15" s="6"/>
      <c r="AC15" s="6"/>
      <c r="AD15" s="6"/>
      <c r="AE15" s="6"/>
      <c r="AF15" s="6"/>
      <c r="AG15" s="6"/>
      <c r="AH15" s="29"/>
      <c r="AI15" s="6"/>
      <c r="AK15" s="43"/>
      <c r="AL15" s="43"/>
      <c r="AM15" s="43"/>
      <c r="AN15" s="43"/>
      <c r="AO15" s="43"/>
      <c r="AP15" s="43"/>
      <c r="AQ15" s="43"/>
      <c r="AR15" s="43"/>
    </row>
    <row r="16" spans="1:44" ht="13.5" thickBot="1">
      <c r="A16" s="2" t="s">
        <v>24</v>
      </c>
      <c r="B16" s="8">
        <f t="shared" si="3"/>
        <v>9</v>
      </c>
      <c r="C16" s="6"/>
      <c r="D16" s="65"/>
      <c r="E16" s="65"/>
      <c r="F16" s="65"/>
      <c r="G16" s="6"/>
      <c r="H16" s="6"/>
      <c r="I16" s="6"/>
      <c r="J16" s="29"/>
      <c r="K16" s="65"/>
      <c r="L16" s="6"/>
      <c r="M16" s="29"/>
      <c r="N16" s="65">
        <v>9</v>
      </c>
      <c r="O16" s="65"/>
      <c r="P16" s="6"/>
      <c r="Q16" s="65"/>
      <c r="R16" s="65"/>
      <c r="S16" s="65"/>
      <c r="T16" s="6"/>
      <c r="U16" s="6"/>
      <c r="V16" s="29"/>
      <c r="W16" s="6"/>
      <c r="X16" s="6"/>
      <c r="Y16" s="36"/>
      <c r="Z16" s="6"/>
      <c r="AA16" s="6"/>
      <c r="AB16" s="6"/>
      <c r="AC16" s="6"/>
      <c r="AD16" s="6"/>
      <c r="AE16" s="6"/>
      <c r="AF16" s="6"/>
      <c r="AG16" s="6"/>
      <c r="AH16" s="29"/>
      <c r="AI16" s="6"/>
      <c r="AK16" s="43"/>
      <c r="AL16" s="43"/>
      <c r="AM16" s="43"/>
      <c r="AN16" s="43"/>
      <c r="AO16" s="43"/>
      <c r="AP16" s="43"/>
      <c r="AQ16" s="43"/>
      <c r="AR16" s="43"/>
    </row>
    <row r="17" spans="1:44" ht="13.5" thickBot="1">
      <c r="A17" s="2" t="s">
        <v>54</v>
      </c>
      <c r="B17" s="8">
        <f t="shared" si="3"/>
        <v>50</v>
      </c>
      <c r="C17" s="6"/>
      <c r="D17" s="65">
        <v>50</v>
      </c>
      <c r="E17" s="65"/>
      <c r="F17" s="65"/>
      <c r="G17" s="6"/>
      <c r="H17" s="6"/>
      <c r="I17" s="6"/>
      <c r="J17" s="29"/>
      <c r="K17" s="65"/>
      <c r="L17" s="6"/>
      <c r="M17" s="29"/>
      <c r="N17" s="65"/>
      <c r="O17" s="65"/>
      <c r="P17" s="6"/>
      <c r="Q17" s="65"/>
      <c r="R17" s="65"/>
      <c r="S17" s="65"/>
      <c r="T17" s="6"/>
      <c r="U17" s="6"/>
      <c r="V17" s="29"/>
      <c r="W17" s="6"/>
      <c r="X17" s="6"/>
      <c r="Y17" s="36"/>
      <c r="Z17" s="6"/>
      <c r="AA17" s="6"/>
      <c r="AB17" s="6"/>
      <c r="AC17" s="6"/>
      <c r="AD17" s="6"/>
      <c r="AE17" s="6"/>
      <c r="AF17" s="6"/>
      <c r="AG17" s="6"/>
      <c r="AH17" s="29"/>
      <c r="AI17" s="6"/>
      <c r="AK17" s="43"/>
      <c r="AL17" s="43"/>
      <c r="AM17" s="43"/>
      <c r="AN17" s="43"/>
      <c r="AO17" s="43"/>
      <c r="AP17" s="43"/>
      <c r="AQ17" s="43"/>
      <c r="AR17" s="43"/>
    </row>
    <row r="18" spans="1:44" ht="13.5" thickBot="1">
      <c r="A18" s="2" t="s">
        <v>25</v>
      </c>
      <c r="B18" s="8">
        <f t="shared" si="3"/>
        <v>12</v>
      </c>
      <c r="C18" s="6">
        <v>4</v>
      </c>
      <c r="D18" s="65"/>
      <c r="E18" s="65"/>
      <c r="F18" s="65"/>
      <c r="G18" s="6"/>
      <c r="H18" s="6"/>
      <c r="I18" s="6"/>
      <c r="J18" s="29"/>
      <c r="K18" s="65"/>
      <c r="L18" s="6"/>
      <c r="M18" s="29"/>
      <c r="N18" s="65"/>
      <c r="O18" s="65">
        <v>8</v>
      </c>
      <c r="P18" s="6"/>
      <c r="Q18" s="65"/>
      <c r="R18" s="65"/>
      <c r="S18" s="65"/>
      <c r="T18" s="6"/>
      <c r="U18" s="6"/>
      <c r="V18" s="29"/>
      <c r="W18" s="6"/>
      <c r="X18" s="6"/>
      <c r="Y18" s="36"/>
      <c r="Z18" s="6"/>
      <c r="AA18" s="6"/>
      <c r="AB18" s="6"/>
      <c r="AC18" s="6"/>
      <c r="AD18" s="6"/>
      <c r="AE18" s="6"/>
      <c r="AF18" s="6"/>
      <c r="AG18" s="6"/>
      <c r="AH18" s="29"/>
      <c r="AI18" s="6"/>
      <c r="AK18" s="43"/>
      <c r="AL18" s="43"/>
      <c r="AM18" s="43"/>
      <c r="AN18" s="43"/>
      <c r="AO18" s="43"/>
      <c r="AP18" s="43"/>
      <c r="AQ18" s="43"/>
      <c r="AR18" s="43"/>
    </row>
    <row r="19" spans="1:44" ht="13.5" thickBot="1">
      <c r="A19" s="2" t="s">
        <v>26</v>
      </c>
      <c r="B19" s="8">
        <f t="shared" si="3"/>
        <v>94.6</v>
      </c>
      <c r="C19" s="6">
        <v>94.6</v>
      </c>
      <c r="D19" s="65"/>
      <c r="E19" s="65"/>
      <c r="F19" s="65"/>
      <c r="G19" s="6"/>
      <c r="H19" s="6"/>
      <c r="I19" s="6"/>
      <c r="J19" s="29"/>
      <c r="K19" s="65"/>
      <c r="L19" s="6"/>
      <c r="M19" s="29"/>
      <c r="N19" s="65"/>
      <c r="O19" s="65"/>
      <c r="P19" s="6"/>
      <c r="Q19" s="65"/>
      <c r="R19" s="65"/>
      <c r="S19" s="65"/>
      <c r="T19" s="6"/>
      <c r="U19" s="6"/>
      <c r="V19" s="29"/>
      <c r="W19" s="6"/>
      <c r="X19" s="6"/>
      <c r="Y19" s="36"/>
      <c r="Z19" s="6"/>
      <c r="AA19" s="6"/>
      <c r="AB19" s="6"/>
      <c r="AC19" s="6"/>
      <c r="AD19" s="6"/>
      <c r="AE19" s="6"/>
      <c r="AF19" s="6"/>
      <c r="AG19" s="6"/>
      <c r="AH19" s="29"/>
      <c r="AI19" s="6"/>
      <c r="AK19" s="43"/>
      <c r="AL19" s="43"/>
      <c r="AM19" s="43"/>
      <c r="AN19" s="43"/>
      <c r="AO19" s="43"/>
      <c r="AP19" s="43"/>
      <c r="AQ19" s="43"/>
      <c r="AR19" s="43"/>
    </row>
    <row r="20" spans="1:44" ht="13.5" thickBot="1">
      <c r="A20" s="2" t="s">
        <v>27</v>
      </c>
      <c r="B20" s="8">
        <f t="shared" si="3"/>
        <v>0</v>
      </c>
      <c r="C20" s="6"/>
      <c r="D20" s="65"/>
      <c r="E20" s="65"/>
      <c r="F20" s="65"/>
      <c r="G20" s="6"/>
      <c r="H20" s="6"/>
      <c r="I20" s="6"/>
      <c r="J20" s="29"/>
      <c r="K20" s="65"/>
      <c r="L20" s="6"/>
      <c r="M20" s="29"/>
      <c r="N20" s="65"/>
      <c r="O20" s="65"/>
      <c r="P20" s="6"/>
      <c r="Q20" s="65"/>
      <c r="R20" s="65"/>
      <c r="S20" s="65"/>
      <c r="T20" s="6"/>
      <c r="U20" s="6"/>
      <c r="V20" s="29"/>
      <c r="W20" s="6"/>
      <c r="X20" s="6"/>
      <c r="Y20" s="36"/>
      <c r="Z20" s="6"/>
      <c r="AA20" s="6"/>
      <c r="AB20" s="6"/>
      <c r="AC20" s="6"/>
      <c r="AD20" s="6"/>
      <c r="AE20" s="6"/>
      <c r="AF20" s="6"/>
      <c r="AG20" s="6"/>
      <c r="AH20" s="29"/>
      <c r="AI20" s="6"/>
      <c r="AK20" s="43"/>
      <c r="AL20" s="43"/>
      <c r="AM20" s="43"/>
      <c r="AN20" s="43"/>
      <c r="AO20" s="43"/>
      <c r="AP20" s="43"/>
      <c r="AQ20" s="43"/>
      <c r="AR20" s="43"/>
    </row>
    <row r="21" spans="1:44" ht="13.5" thickBot="1">
      <c r="A21" s="2" t="s">
        <v>14</v>
      </c>
      <c r="B21" s="8">
        <f>C21+D21+E21+F21+G21+H21+I21+J21+K21+L21+M21+N21+O21+P21+Q21+R21+S21+T21+U21+V21+W21+X21+Y21+Z21+AA21+AB21+AC21+AD21+AE21+AF21+AG21+AH21+AI21</f>
        <v>3.2</v>
      </c>
      <c r="C21" s="6">
        <v>3.2</v>
      </c>
      <c r="D21" s="65"/>
      <c r="E21" s="65"/>
      <c r="F21" s="65"/>
      <c r="G21" s="6"/>
      <c r="H21" s="6"/>
      <c r="I21" s="6"/>
      <c r="J21" s="29"/>
      <c r="K21" s="65"/>
      <c r="L21" s="6"/>
      <c r="M21" s="29"/>
      <c r="N21" s="65"/>
      <c r="O21" s="65"/>
      <c r="P21" s="6"/>
      <c r="Q21" s="65"/>
      <c r="R21" s="65"/>
      <c r="S21" s="65"/>
      <c r="T21" s="6"/>
      <c r="U21" s="6"/>
      <c r="V21" s="29"/>
      <c r="W21" s="6"/>
      <c r="X21" s="6"/>
      <c r="Y21" s="36"/>
      <c r="Z21" s="6"/>
      <c r="AA21" s="6"/>
      <c r="AB21" s="6"/>
      <c r="AC21" s="6"/>
      <c r="AD21" s="6"/>
      <c r="AE21" s="6"/>
      <c r="AF21" s="6"/>
      <c r="AG21" s="6"/>
      <c r="AH21" s="29"/>
      <c r="AI21" s="6"/>
      <c r="AK21" s="43"/>
      <c r="AL21" s="43"/>
      <c r="AM21" s="43"/>
      <c r="AN21" s="43"/>
      <c r="AO21" s="43"/>
      <c r="AP21" s="43"/>
      <c r="AQ21" s="43"/>
      <c r="AR21" s="43"/>
    </row>
    <row r="22" spans="1:44" ht="13.5" thickBot="1">
      <c r="A22" s="2" t="s">
        <v>28</v>
      </c>
      <c r="B22" s="8">
        <f t="shared" si="3"/>
        <v>0</v>
      </c>
      <c r="C22" s="6"/>
      <c r="D22" s="65"/>
      <c r="E22" s="65"/>
      <c r="F22" s="65"/>
      <c r="G22" s="6"/>
      <c r="H22" s="6"/>
      <c r="I22" s="6"/>
      <c r="J22" s="29"/>
      <c r="K22" s="65"/>
      <c r="L22" s="6"/>
      <c r="M22" s="29"/>
      <c r="N22" s="65"/>
      <c r="O22" s="65"/>
      <c r="P22" s="6"/>
      <c r="Q22" s="65"/>
      <c r="R22" s="65"/>
      <c r="S22" s="65"/>
      <c r="T22" s="6"/>
      <c r="U22" s="6"/>
      <c r="V22" s="29"/>
      <c r="W22" s="6"/>
      <c r="X22" s="6"/>
      <c r="Y22" s="36"/>
      <c r="Z22" s="6"/>
      <c r="AA22" s="6"/>
      <c r="AB22" s="6"/>
      <c r="AC22" s="6"/>
      <c r="AD22" s="6"/>
      <c r="AE22" s="6"/>
      <c r="AF22" s="6"/>
      <c r="AG22" s="6"/>
      <c r="AH22" s="29"/>
      <c r="AI22" s="6"/>
      <c r="AK22" s="43"/>
      <c r="AL22" s="43"/>
      <c r="AM22" s="43"/>
      <c r="AN22" s="43"/>
      <c r="AO22" s="43"/>
      <c r="AP22" s="43"/>
      <c r="AQ22" s="43"/>
      <c r="AR22" s="43"/>
    </row>
    <row r="23" spans="1:44" ht="13.5" thickBot="1">
      <c r="A23" s="2" t="s">
        <v>29</v>
      </c>
      <c r="B23" s="8">
        <f t="shared" si="3"/>
        <v>0</v>
      </c>
      <c r="C23" s="6"/>
      <c r="D23" s="65"/>
      <c r="E23" s="65"/>
      <c r="F23" s="65"/>
      <c r="G23" s="6"/>
      <c r="H23" s="6"/>
      <c r="I23" s="6"/>
      <c r="J23" s="29"/>
      <c r="K23" s="65"/>
      <c r="L23" s="6"/>
      <c r="M23" s="29"/>
      <c r="N23" s="65"/>
      <c r="O23" s="65"/>
      <c r="P23" s="6"/>
      <c r="Q23" s="65"/>
      <c r="R23" s="65"/>
      <c r="S23" s="65"/>
      <c r="T23" s="6"/>
      <c r="U23" s="6"/>
      <c r="V23" s="29"/>
      <c r="W23" s="6"/>
      <c r="X23" s="6"/>
      <c r="Y23" s="36"/>
      <c r="Z23" s="6"/>
      <c r="AA23" s="6"/>
      <c r="AB23" s="6"/>
      <c r="AC23" s="6"/>
      <c r="AD23" s="6"/>
      <c r="AE23" s="6"/>
      <c r="AF23" s="6"/>
      <c r="AG23" s="6"/>
      <c r="AH23" s="29"/>
      <c r="AI23" s="6"/>
      <c r="AK23" s="43"/>
      <c r="AL23" s="43"/>
      <c r="AM23" s="43"/>
      <c r="AN23" s="43"/>
      <c r="AO23" s="43"/>
      <c r="AP23" s="43"/>
      <c r="AQ23" s="43"/>
      <c r="AR23" s="43"/>
    </row>
    <row r="24" spans="1:44" ht="13.5" thickBot="1">
      <c r="A24" s="2" t="s">
        <v>30</v>
      </c>
      <c r="B24" s="8">
        <f t="shared" si="3"/>
        <v>0</v>
      </c>
      <c r="C24" s="6"/>
      <c r="D24" s="65"/>
      <c r="E24" s="65"/>
      <c r="F24" s="65"/>
      <c r="G24" s="6"/>
      <c r="H24" s="6"/>
      <c r="I24" s="6"/>
      <c r="J24" s="29"/>
      <c r="K24" s="65"/>
      <c r="L24" s="6"/>
      <c r="M24" s="29"/>
      <c r="N24" s="65"/>
      <c r="O24" s="65"/>
      <c r="P24" s="6"/>
      <c r="Q24" s="65"/>
      <c r="R24" s="65"/>
      <c r="S24" s="65"/>
      <c r="T24" s="6"/>
      <c r="U24" s="6"/>
      <c r="V24" s="29"/>
      <c r="W24" s="6"/>
      <c r="X24" s="6"/>
      <c r="Y24" s="36"/>
      <c r="Z24" s="6"/>
      <c r="AA24" s="6"/>
      <c r="AB24" s="6"/>
      <c r="AC24" s="6"/>
      <c r="AD24" s="6"/>
      <c r="AE24" s="6"/>
      <c r="AF24" s="6"/>
      <c r="AG24" s="6"/>
      <c r="AH24" s="29"/>
      <c r="AI24" s="6"/>
      <c r="AK24" s="43"/>
      <c r="AL24" s="43"/>
      <c r="AM24" s="43"/>
      <c r="AN24" s="43"/>
      <c r="AO24" s="43"/>
      <c r="AP24" s="43"/>
      <c r="AQ24" s="43"/>
      <c r="AR24" s="43"/>
    </row>
    <row r="25" spans="1:44" ht="13.5" thickBot="1">
      <c r="A25" s="2" t="s">
        <v>31</v>
      </c>
      <c r="B25" s="8">
        <f t="shared" si="3"/>
        <v>0</v>
      </c>
      <c r="C25" s="6"/>
      <c r="D25" s="65"/>
      <c r="E25" s="65"/>
      <c r="F25" s="65"/>
      <c r="G25" s="6"/>
      <c r="H25" s="6"/>
      <c r="I25" s="6"/>
      <c r="J25" s="29"/>
      <c r="K25" s="65"/>
      <c r="L25" s="6"/>
      <c r="M25" s="29"/>
      <c r="N25" s="65"/>
      <c r="O25" s="65"/>
      <c r="P25" s="6"/>
      <c r="Q25" s="65"/>
      <c r="R25" s="65"/>
      <c r="S25" s="65"/>
      <c r="T25" s="6"/>
      <c r="U25" s="6"/>
      <c r="V25" s="29"/>
      <c r="W25" s="6"/>
      <c r="X25" s="6"/>
      <c r="Y25" s="36"/>
      <c r="Z25" s="6"/>
      <c r="AA25" s="6"/>
      <c r="AB25" s="6"/>
      <c r="AC25" s="6"/>
      <c r="AD25" s="6"/>
      <c r="AE25" s="6"/>
      <c r="AF25" s="6"/>
      <c r="AG25" s="6"/>
      <c r="AH25" s="29"/>
      <c r="AI25" s="6"/>
      <c r="AK25" s="43"/>
      <c r="AL25" s="43"/>
      <c r="AM25" s="43"/>
      <c r="AN25" s="43"/>
      <c r="AO25" s="43"/>
      <c r="AP25" s="43"/>
      <c r="AQ25" s="43"/>
      <c r="AR25" s="43"/>
    </row>
    <row r="26" spans="1:44" ht="13.5" thickBot="1">
      <c r="A26" s="2" t="s">
        <v>32</v>
      </c>
      <c r="B26" s="8">
        <f t="shared" si="3"/>
        <v>0</v>
      </c>
      <c r="C26" s="6"/>
      <c r="D26" s="65"/>
      <c r="E26" s="65"/>
      <c r="F26" s="65"/>
      <c r="G26" s="6"/>
      <c r="H26" s="6"/>
      <c r="I26" s="6"/>
      <c r="J26" s="29"/>
      <c r="K26" s="65"/>
      <c r="L26" s="6"/>
      <c r="M26" s="29"/>
      <c r="N26" s="65"/>
      <c r="O26" s="65"/>
      <c r="P26" s="6"/>
      <c r="Q26" s="65"/>
      <c r="R26" s="65"/>
      <c r="S26" s="65"/>
      <c r="T26" s="6"/>
      <c r="U26" s="6"/>
      <c r="V26" s="29"/>
      <c r="W26" s="6"/>
      <c r="X26" s="6"/>
      <c r="Y26" s="36"/>
      <c r="Z26" s="6"/>
      <c r="AA26" s="6"/>
      <c r="AB26" s="6"/>
      <c r="AC26" s="6"/>
      <c r="AD26" s="6"/>
      <c r="AE26" s="6"/>
      <c r="AF26" s="6"/>
      <c r="AG26" s="6"/>
      <c r="AH26" s="29"/>
      <c r="AI26" s="6"/>
      <c r="AK26" s="43"/>
      <c r="AL26" s="43"/>
      <c r="AM26" s="43"/>
      <c r="AN26" s="43"/>
      <c r="AO26" s="43"/>
      <c r="AP26" s="43"/>
      <c r="AQ26" s="43"/>
      <c r="AR26" s="43"/>
    </row>
    <row r="27" spans="1:44" ht="13.5" thickBot="1">
      <c r="A27" s="2" t="s">
        <v>33</v>
      </c>
      <c r="B27" s="8">
        <f t="shared" si="3"/>
        <v>6.7</v>
      </c>
      <c r="C27" s="6">
        <v>6.7</v>
      </c>
      <c r="D27" s="65"/>
      <c r="E27" s="65"/>
      <c r="F27" s="65"/>
      <c r="G27" s="6"/>
      <c r="H27" s="6"/>
      <c r="I27" s="6"/>
      <c r="J27" s="29"/>
      <c r="K27" s="65"/>
      <c r="L27" s="6"/>
      <c r="M27" s="29"/>
      <c r="N27" s="65"/>
      <c r="O27" s="65"/>
      <c r="P27" s="6"/>
      <c r="Q27" s="65"/>
      <c r="R27" s="65"/>
      <c r="S27" s="65"/>
      <c r="T27" s="6"/>
      <c r="U27" s="6"/>
      <c r="V27" s="29"/>
      <c r="W27" s="6"/>
      <c r="X27" s="6"/>
      <c r="Y27" s="36"/>
      <c r="Z27" s="6"/>
      <c r="AA27" s="6"/>
      <c r="AB27" s="6"/>
      <c r="AC27" s="6"/>
      <c r="AD27" s="6"/>
      <c r="AE27" s="6"/>
      <c r="AF27" s="6"/>
      <c r="AG27" s="6"/>
      <c r="AH27" s="29"/>
      <c r="AI27" s="6"/>
      <c r="AK27" s="43"/>
      <c r="AL27" s="43"/>
      <c r="AM27" s="43"/>
      <c r="AN27" s="43"/>
      <c r="AO27" s="43"/>
      <c r="AP27" s="43"/>
      <c r="AQ27" s="43"/>
      <c r="AR27" s="43"/>
    </row>
    <row r="28" spans="1:44" ht="13.5" thickBot="1">
      <c r="A28" s="2" t="s">
        <v>34</v>
      </c>
      <c r="B28" s="8">
        <f t="shared" si="3"/>
        <v>39</v>
      </c>
      <c r="C28" s="6"/>
      <c r="D28" s="65"/>
      <c r="E28" s="65"/>
      <c r="F28" s="65"/>
      <c r="G28" s="6"/>
      <c r="H28" s="6"/>
      <c r="I28" s="6"/>
      <c r="J28" s="29"/>
      <c r="K28" s="65"/>
      <c r="L28" s="6"/>
      <c r="M28" s="29"/>
      <c r="N28" s="65"/>
      <c r="O28" s="65">
        <v>4</v>
      </c>
      <c r="P28" s="6">
        <v>35</v>
      </c>
      <c r="Q28" s="65"/>
      <c r="R28" s="65"/>
      <c r="S28" s="65"/>
      <c r="T28" s="6"/>
      <c r="U28" s="6"/>
      <c r="V28" s="29"/>
      <c r="W28" s="6"/>
      <c r="X28" s="6"/>
      <c r="Y28" s="36"/>
      <c r="Z28" s="6"/>
      <c r="AA28" s="6"/>
      <c r="AB28" s="6"/>
      <c r="AC28" s="6"/>
      <c r="AD28" s="6"/>
      <c r="AE28" s="6"/>
      <c r="AF28" s="6"/>
      <c r="AG28" s="6"/>
      <c r="AH28" s="29"/>
      <c r="AI28" s="6"/>
      <c r="AK28" s="43"/>
      <c r="AL28" s="43"/>
      <c r="AM28" s="43"/>
      <c r="AN28" s="43"/>
      <c r="AO28" s="43"/>
      <c r="AP28" s="43"/>
      <c r="AQ28" s="43"/>
      <c r="AR28" s="43"/>
    </row>
    <row r="29" spans="1:44" ht="13.5" thickBot="1">
      <c r="A29" s="2" t="s">
        <v>35</v>
      </c>
      <c r="B29" s="8">
        <f t="shared" si="3"/>
        <v>0</v>
      </c>
      <c r="C29" s="6"/>
      <c r="D29" s="65"/>
      <c r="E29" s="65"/>
      <c r="F29" s="65"/>
      <c r="G29" s="6"/>
      <c r="H29" s="6"/>
      <c r="I29" s="6"/>
      <c r="J29" s="29"/>
      <c r="K29" s="65"/>
      <c r="L29" s="6"/>
      <c r="M29" s="29"/>
      <c r="N29" s="65"/>
      <c r="O29" s="65"/>
      <c r="P29" s="6"/>
      <c r="Q29" s="65"/>
      <c r="R29" s="65"/>
      <c r="S29" s="65"/>
      <c r="T29" s="6"/>
      <c r="U29" s="6"/>
      <c r="V29" s="29"/>
      <c r="W29" s="6"/>
      <c r="X29" s="6"/>
      <c r="Y29" s="36"/>
      <c r="Z29" s="6"/>
      <c r="AA29" s="6"/>
      <c r="AB29" s="6"/>
      <c r="AC29" s="6"/>
      <c r="AD29" s="6"/>
      <c r="AE29" s="6"/>
      <c r="AF29" s="6"/>
      <c r="AG29" s="6"/>
      <c r="AH29" s="29"/>
      <c r="AI29" s="6"/>
      <c r="AK29" s="43"/>
      <c r="AL29" s="43"/>
      <c r="AM29" s="43"/>
      <c r="AN29" s="43"/>
      <c r="AO29" s="43"/>
      <c r="AP29" s="43"/>
      <c r="AQ29" s="43"/>
      <c r="AR29" s="43"/>
    </row>
    <row r="30" spans="1:44" ht="13.5" thickBot="1">
      <c r="A30" s="2" t="s">
        <v>36</v>
      </c>
      <c r="B30" s="8">
        <f t="shared" si="3"/>
        <v>0</v>
      </c>
      <c r="C30" s="6"/>
      <c r="D30" s="65"/>
      <c r="E30" s="65"/>
      <c r="F30" s="65"/>
      <c r="G30" s="6"/>
      <c r="H30" s="6"/>
      <c r="I30" s="6"/>
      <c r="J30" s="29"/>
      <c r="K30" s="65"/>
      <c r="L30" s="6"/>
      <c r="M30" s="29"/>
      <c r="N30" s="65"/>
      <c r="O30" s="65"/>
      <c r="P30" s="6"/>
      <c r="Q30" s="65"/>
      <c r="R30" s="65"/>
      <c r="S30" s="65"/>
      <c r="T30" s="6"/>
      <c r="U30" s="6"/>
      <c r="V30" s="29"/>
      <c r="W30" s="6"/>
      <c r="X30" s="6"/>
      <c r="Y30" s="36"/>
      <c r="Z30" s="6"/>
      <c r="AA30" s="6"/>
      <c r="AB30" s="6"/>
      <c r="AC30" s="6"/>
      <c r="AD30" s="6"/>
      <c r="AE30" s="6"/>
      <c r="AF30" s="6"/>
      <c r="AG30" s="6"/>
      <c r="AH30" s="29"/>
      <c r="AI30" s="6"/>
      <c r="AK30" s="43"/>
      <c r="AL30" s="43"/>
      <c r="AM30" s="43"/>
      <c r="AN30" s="43"/>
      <c r="AO30" s="43"/>
      <c r="AP30" s="43"/>
      <c r="AQ30" s="43"/>
      <c r="AR30" s="43"/>
    </row>
    <row r="31" spans="1:44" ht="13.5" thickBot="1">
      <c r="A31" s="2" t="s">
        <v>37</v>
      </c>
      <c r="B31" s="8">
        <f t="shared" si="3"/>
        <v>0</v>
      </c>
      <c r="C31" s="6"/>
      <c r="D31" s="65"/>
      <c r="E31" s="65"/>
      <c r="F31" s="65"/>
      <c r="G31" s="6"/>
      <c r="H31" s="6"/>
      <c r="I31" s="6"/>
      <c r="J31" s="29"/>
      <c r="K31" s="65"/>
      <c r="L31" s="6"/>
      <c r="M31" s="29"/>
      <c r="N31" s="65"/>
      <c r="O31" s="65"/>
      <c r="P31" s="6"/>
      <c r="Q31" s="65"/>
      <c r="R31" s="65"/>
      <c r="S31" s="65"/>
      <c r="T31" s="6"/>
      <c r="U31" s="6"/>
      <c r="V31" s="29"/>
      <c r="W31" s="6"/>
      <c r="X31" s="6"/>
      <c r="Y31" s="36"/>
      <c r="Z31" s="6"/>
      <c r="AA31" s="6"/>
      <c r="AB31" s="6"/>
      <c r="AC31" s="6"/>
      <c r="AD31" s="6"/>
      <c r="AE31" s="6"/>
      <c r="AF31" s="6"/>
      <c r="AG31" s="6"/>
      <c r="AH31" s="29"/>
      <c r="AI31" s="6"/>
      <c r="AK31" s="43"/>
      <c r="AL31" s="43"/>
      <c r="AM31" s="43"/>
      <c r="AN31" s="43"/>
      <c r="AO31" s="43"/>
      <c r="AP31" s="43"/>
      <c r="AQ31" s="43"/>
      <c r="AR31" s="43"/>
    </row>
    <row r="32" spans="1:44" ht="13.5" thickBot="1">
      <c r="A32" s="2" t="s">
        <v>38</v>
      </c>
      <c r="B32" s="8">
        <f t="shared" si="3"/>
        <v>47.9</v>
      </c>
      <c r="C32" s="6">
        <v>6.7</v>
      </c>
      <c r="D32" s="65">
        <v>20</v>
      </c>
      <c r="E32" s="65"/>
      <c r="F32" s="65"/>
      <c r="G32" s="6"/>
      <c r="H32" s="6"/>
      <c r="I32" s="6"/>
      <c r="J32" s="29"/>
      <c r="K32" s="65"/>
      <c r="L32" s="6"/>
      <c r="M32" s="29"/>
      <c r="N32" s="65">
        <v>1.2</v>
      </c>
      <c r="O32" s="65"/>
      <c r="P32" s="6"/>
      <c r="Q32" s="65">
        <v>20</v>
      </c>
      <c r="R32" s="65"/>
      <c r="S32" s="65"/>
      <c r="T32" s="6"/>
      <c r="U32" s="6"/>
      <c r="V32" s="29"/>
      <c r="W32" s="6"/>
      <c r="X32" s="6"/>
      <c r="Y32" s="36"/>
      <c r="Z32" s="6"/>
      <c r="AA32" s="6"/>
      <c r="AB32" s="6"/>
      <c r="AC32" s="6"/>
      <c r="AD32" s="6"/>
      <c r="AE32" s="6"/>
      <c r="AF32" s="6"/>
      <c r="AG32" s="6"/>
      <c r="AH32" s="29"/>
      <c r="AI32" s="6"/>
      <c r="AK32" s="43"/>
      <c r="AL32" s="43"/>
      <c r="AM32" s="43"/>
      <c r="AN32" s="43"/>
      <c r="AO32" s="43"/>
      <c r="AP32" s="43"/>
      <c r="AQ32" s="43"/>
      <c r="AR32" s="43"/>
    </row>
    <row r="33" spans="1:44" ht="13.5" thickBot="1">
      <c r="A33" s="2" t="s">
        <v>39</v>
      </c>
      <c r="B33" s="8">
        <f t="shared" si="3"/>
        <v>0</v>
      </c>
      <c r="C33" s="6"/>
      <c r="D33" s="65"/>
      <c r="E33" s="65"/>
      <c r="F33" s="65"/>
      <c r="G33" s="6"/>
      <c r="H33" s="6"/>
      <c r="I33" s="6"/>
      <c r="J33" s="29"/>
      <c r="K33" s="65"/>
      <c r="L33" s="6"/>
      <c r="M33" s="29"/>
      <c r="N33" s="65"/>
      <c r="O33" s="65"/>
      <c r="P33" s="6"/>
      <c r="Q33" s="65"/>
      <c r="R33" s="65"/>
      <c r="S33" s="65"/>
      <c r="T33" s="6"/>
      <c r="U33" s="6"/>
      <c r="V33" s="29"/>
      <c r="W33" s="6"/>
      <c r="X33" s="6"/>
      <c r="Y33" s="36"/>
      <c r="Z33" s="6"/>
      <c r="AA33" s="6"/>
      <c r="AB33" s="6"/>
      <c r="AC33" s="6"/>
      <c r="AD33" s="6"/>
      <c r="AE33" s="6"/>
      <c r="AF33" s="6"/>
      <c r="AG33" s="6"/>
      <c r="AH33" s="29"/>
      <c r="AI33" s="6"/>
      <c r="AK33" s="43"/>
      <c r="AL33" s="43"/>
      <c r="AM33" s="43"/>
      <c r="AN33" s="43"/>
      <c r="AO33" s="43"/>
      <c r="AP33" s="43"/>
      <c r="AQ33" s="43"/>
      <c r="AR33" s="43"/>
    </row>
    <row r="34" spans="1:44" ht="13.5" thickBot="1">
      <c r="A34" s="2" t="s">
        <v>40</v>
      </c>
      <c r="B34" s="8">
        <f t="shared" si="3"/>
        <v>0</v>
      </c>
      <c r="C34" s="6"/>
      <c r="D34" s="65"/>
      <c r="E34" s="65"/>
      <c r="F34" s="65"/>
      <c r="G34" s="6"/>
      <c r="H34" s="6"/>
      <c r="I34" s="6"/>
      <c r="J34" s="29"/>
      <c r="K34" s="65"/>
      <c r="L34" s="6"/>
      <c r="M34" s="29"/>
      <c r="N34" s="65"/>
      <c r="O34" s="65"/>
      <c r="P34" s="6"/>
      <c r="Q34" s="65"/>
      <c r="R34" s="65"/>
      <c r="S34" s="65"/>
      <c r="T34" s="6"/>
      <c r="U34" s="6"/>
      <c r="V34" s="29"/>
      <c r="W34" s="6"/>
      <c r="X34" s="6"/>
      <c r="Y34" s="36"/>
      <c r="Z34" s="6"/>
      <c r="AA34" s="6"/>
      <c r="AB34" s="6"/>
      <c r="AC34" s="6"/>
      <c r="AD34" s="6"/>
      <c r="AE34" s="6"/>
      <c r="AF34" s="6"/>
      <c r="AG34" s="6"/>
      <c r="AH34" s="29"/>
      <c r="AI34" s="6"/>
      <c r="AK34" s="43"/>
      <c r="AL34" s="43"/>
      <c r="AM34" s="43"/>
      <c r="AN34" s="43"/>
      <c r="AO34" s="43"/>
      <c r="AP34" s="43"/>
      <c r="AQ34" s="43"/>
      <c r="AR34" s="43"/>
    </row>
    <row r="35" spans="1:44" ht="13.5" thickBot="1">
      <c r="A35" s="2" t="s">
        <v>41</v>
      </c>
      <c r="B35" s="8">
        <f t="shared" si="3"/>
        <v>20</v>
      </c>
      <c r="C35" s="6"/>
      <c r="D35" s="65"/>
      <c r="E35" s="65"/>
      <c r="F35" s="65"/>
      <c r="G35" s="6"/>
      <c r="H35" s="6"/>
      <c r="I35" s="6"/>
      <c r="J35" s="29"/>
      <c r="K35" s="65"/>
      <c r="L35" s="6"/>
      <c r="M35" s="29"/>
      <c r="N35" s="65"/>
      <c r="O35" s="65"/>
      <c r="P35" s="6"/>
      <c r="Q35" s="65">
        <v>20</v>
      </c>
      <c r="R35" s="65"/>
      <c r="S35" s="65"/>
      <c r="T35" s="6"/>
      <c r="U35" s="6"/>
      <c r="V35" s="29"/>
      <c r="W35" s="6"/>
      <c r="X35" s="6"/>
      <c r="Y35" s="36"/>
      <c r="Z35" s="6"/>
      <c r="AA35" s="6"/>
      <c r="AB35" s="6"/>
      <c r="AC35" s="6"/>
      <c r="AD35" s="6"/>
      <c r="AE35" s="6"/>
      <c r="AF35" s="6"/>
      <c r="AG35" s="6"/>
      <c r="AH35" s="29"/>
      <c r="AI35" s="6"/>
      <c r="AK35" s="43"/>
      <c r="AL35" s="43"/>
      <c r="AM35" s="43"/>
      <c r="AN35" s="43"/>
      <c r="AO35" s="43"/>
      <c r="AP35" s="43"/>
      <c r="AQ35" s="43"/>
      <c r="AR35" s="43"/>
    </row>
    <row r="36" spans="1:44" ht="13.5" thickBot="1">
      <c r="A36" s="2" t="s">
        <v>42</v>
      </c>
      <c r="B36" s="8">
        <f t="shared" si="3"/>
        <v>189</v>
      </c>
      <c r="C36" s="6"/>
      <c r="D36" s="65"/>
      <c r="E36" s="65"/>
      <c r="F36" s="65">
        <v>175</v>
      </c>
      <c r="G36" s="6"/>
      <c r="H36" s="6"/>
      <c r="I36" s="6"/>
      <c r="J36" s="29"/>
      <c r="K36" s="65"/>
      <c r="L36" s="6"/>
      <c r="M36" s="29"/>
      <c r="N36" s="65">
        <v>14</v>
      </c>
      <c r="O36" s="65"/>
      <c r="P36" s="6"/>
      <c r="Q36" s="65"/>
      <c r="R36" s="65"/>
      <c r="S36" s="65"/>
      <c r="T36" s="6"/>
      <c r="U36" s="6"/>
      <c r="V36" s="29"/>
      <c r="W36" s="6"/>
      <c r="X36" s="6"/>
      <c r="Y36" s="36"/>
      <c r="Z36" s="6"/>
      <c r="AA36" s="6"/>
      <c r="AB36" s="6"/>
      <c r="AC36" s="6"/>
      <c r="AD36" s="6"/>
      <c r="AE36" s="6"/>
      <c r="AF36" s="6"/>
      <c r="AG36" s="6"/>
      <c r="AH36" s="29"/>
      <c r="AI36" s="6"/>
      <c r="AK36" s="43"/>
      <c r="AL36" s="43"/>
      <c r="AM36" s="43"/>
      <c r="AN36" s="43"/>
      <c r="AO36" s="43"/>
      <c r="AP36" s="43"/>
      <c r="AQ36" s="43"/>
      <c r="AR36" s="43"/>
    </row>
    <row r="37" spans="1:44" ht="13.5" thickBot="1">
      <c r="A37" s="2" t="s">
        <v>43</v>
      </c>
      <c r="B37" s="8">
        <f t="shared" si="3"/>
        <v>80</v>
      </c>
      <c r="C37" s="6"/>
      <c r="D37" s="65"/>
      <c r="E37" s="65"/>
      <c r="F37" s="65"/>
      <c r="G37" s="6"/>
      <c r="H37" s="6"/>
      <c r="I37" s="6"/>
      <c r="J37" s="29"/>
      <c r="K37" s="65"/>
      <c r="L37" s="6"/>
      <c r="M37" s="29"/>
      <c r="N37" s="65"/>
      <c r="O37" s="65">
        <v>80</v>
      </c>
      <c r="P37" s="6"/>
      <c r="Q37" s="65"/>
      <c r="R37" s="65"/>
      <c r="S37" s="65"/>
      <c r="T37" s="6"/>
      <c r="U37" s="6"/>
      <c r="V37" s="29"/>
      <c r="W37" s="6"/>
      <c r="X37" s="6"/>
      <c r="Y37" s="36"/>
      <c r="Z37" s="6"/>
      <c r="AA37" s="6"/>
      <c r="AB37" s="6"/>
      <c r="AC37" s="6"/>
      <c r="AD37" s="6"/>
      <c r="AE37" s="6"/>
      <c r="AF37" s="6"/>
      <c r="AG37" s="6"/>
      <c r="AH37" s="29"/>
      <c r="AI37" s="6"/>
      <c r="AK37" s="43"/>
      <c r="AL37" s="43"/>
      <c r="AM37" s="43"/>
      <c r="AN37" s="43"/>
      <c r="AO37" s="43"/>
      <c r="AP37" s="43"/>
      <c r="AQ37" s="43"/>
      <c r="AR37" s="43"/>
    </row>
    <row r="38" spans="1:44" ht="13.5" thickBot="1">
      <c r="A38" s="2" t="s">
        <v>44</v>
      </c>
      <c r="B38" s="8">
        <f t="shared" si="3"/>
        <v>0</v>
      </c>
      <c r="C38" s="6"/>
      <c r="D38" s="65"/>
      <c r="E38" s="65"/>
      <c r="F38" s="65"/>
      <c r="G38" s="6"/>
      <c r="H38" s="6"/>
      <c r="I38" s="6"/>
      <c r="J38" s="29"/>
      <c r="K38" s="65"/>
      <c r="L38" s="6"/>
      <c r="M38" s="29"/>
      <c r="N38" s="65"/>
      <c r="O38" s="65"/>
      <c r="P38" s="6"/>
      <c r="Q38" s="65"/>
      <c r="R38" s="65"/>
      <c r="S38" s="65"/>
      <c r="T38" s="6"/>
      <c r="U38" s="6"/>
      <c r="V38" s="29"/>
      <c r="W38" s="6"/>
      <c r="X38" s="6"/>
      <c r="Y38" s="36"/>
      <c r="Z38" s="6"/>
      <c r="AA38" s="6"/>
      <c r="AB38" s="6"/>
      <c r="AC38" s="6"/>
      <c r="AD38" s="6"/>
      <c r="AE38" s="6"/>
      <c r="AF38" s="6"/>
      <c r="AG38" s="6"/>
      <c r="AH38" s="29"/>
      <c r="AI38" s="6"/>
      <c r="AK38" s="43"/>
      <c r="AL38" s="43"/>
      <c r="AM38" s="43"/>
      <c r="AN38" s="43"/>
      <c r="AO38" s="43"/>
      <c r="AP38" s="43"/>
      <c r="AQ38" s="43"/>
      <c r="AR38" s="43"/>
    </row>
    <row r="39" spans="1:44" ht="13.5" thickBot="1">
      <c r="A39" s="2" t="s">
        <v>45</v>
      </c>
      <c r="B39" s="8">
        <f t="shared" si="3"/>
        <v>69.400000000000006</v>
      </c>
      <c r="C39" s="6"/>
      <c r="D39" s="65"/>
      <c r="E39" s="65"/>
      <c r="F39" s="65"/>
      <c r="G39" s="6"/>
      <c r="H39" s="6"/>
      <c r="I39" s="6"/>
      <c r="J39" s="29"/>
      <c r="K39" s="65"/>
      <c r="L39" s="6"/>
      <c r="M39" s="29"/>
      <c r="N39" s="65">
        <v>49</v>
      </c>
      <c r="O39" s="65">
        <v>10.4</v>
      </c>
      <c r="P39" s="6">
        <v>10</v>
      </c>
      <c r="Q39" s="65"/>
      <c r="R39" s="65"/>
      <c r="S39" s="65"/>
      <c r="T39" s="6"/>
      <c r="U39" s="6"/>
      <c r="V39" s="29"/>
      <c r="W39" s="6"/>
      <c r="X39" s="6"/>
      <c r="Y39" s="36"/>
      <c r="Z39" s="6"/>
      <c r="AA39" s="6"/>
      <c r="AB39" s="6"/>
      <c r="AC39" s="6"/>
      <c r="AD39" s="6"/>
      <c r="AE39" s="6"/>
      <c r="AF39" s="6"/>
      <c r="AG39" s="6"/>
      <c r="AH39" s="29"/>
      <c r="AI39" s="6"/>
      <c r="AK39" s="43"/>
      <c r="AL39" s="43"/>
      <c r="AM39" s="43"/>
      <c r="AN39" s="43"/>
      <c r="AO39" s="43"/>
      <c r="AP39" s="43"/>
      <c r="AQ39" s="43"/>
      <c r="AR39" s="43"/>
    </row>
    <row r="40" spans="1:44" ht="13.5" thickBot="1">
      <c r="A40" s="2" t="s">
        <v>46</v>
      </c>
      <c r="B40" s="8">
        <f t="shared" si="3"/>
        <v>13.8</v>
      </c>
      <c r="C40" s="6"/>
      <c r="D40" s="65"/>
      <c r="E40" s="65"/>
      <c r="F40" s="65"/>
      <c r="G40" s="6"/>
      <c r="H40" s="6"/>
      <c r="I40" s="6"/>
      <c r="J40" s="29"/>
      <c r="K40" s="65"/>
      <c r="L40" s="6"/>
      <c r="M40" s="29"/>
      <c r="N40" s="65"/>
      <c r="O40" s="65">
        <v>4.8</v>
      </c>
      <c r="P40" s="6">
        <v>9</v>
      </c>
      <c r="Q40" s="65"/>
      <c r="R40" s="65"/>
      <c r="S40" s="65"/>
      <c r="T40" s="6"/>
      <c r="U40" s="6"/>
      <c r="V40" s="29"/>
      <c r="W40" s="6"/>
      <c r="X40" s="6"/>
      <c r="Y40" s="36"/>
      <c r="Z40" s="6"/>
      <c r="AA40" s="6"/>
      <c r="AB40" s="6"/>
      <c r="AC40" s="6"/>
      <c r="AD40" s="6"/>
      <c r="AE40" s="6"/>
      <c r="AF40" s="6"/>
      <c r="AG40" s="6"/>
      <c r="AH40" s="29"/>
      <c r="AI40" s="6"/>
      <c r="AK40" s="43"/>
      <c r="AL40" s="43"/>
      <c r="AM40" s="43"/>
      <c r="AN40" s="43"/>
      <c r="AO40" s="43"/>
      <c r="AP40" s="43"/>
      <c r="AQ40" s="43"/>
      <c r="AR40" s="43"/>
    </row>
    <row r="41" spans="1:44" ht="13.5" thickBot="1">
      <c r="A41" s="2" t="s">
        <v>47</v>
      </c>
      <c r="B41" s="8">
        <f t="shared" si="3"/>
        <v>13.6</v>
      </c>
      <c r="C41" s="6"/>
      <c r="D41" s="65"/>
      <c r="E41" s="65"/>
      <c r="F41" s="65"/>
      <c r="G41" s="6"/>
      <c r="H41" s="6"/>
      <c r="I41" s="6"/>
      <c r="J41" s="29"/>
      <c r="K41" s="65"/>
      <c r="L41" s="6"/>
      <c r="M41" s="29"/>
      <c r="N41" s="65"/>
      <c r="O41" s="65">
        <v>13.6</v>
      </c>
      <c r="P41" s="6"/>
      <c r="Q41" s="65"/>
      <c r="R41" s="65"/>
      <c r="S41" s="65"/>
      <c r="T41" s="6"/>
      <c r="U41" s="6"/>
      <c r="V41" s="29"/>
      <c r="W41" s="6"/>
      <c r="X41" s="6"/>
      <c r="Y41" s="36"/>
      <c r="Z41" s="6"/>
      <c r="AA41" s="6"/>
      <c r="AB41" s="6"/>
      <c r="AC41" s="6"/>
      <c r="AD41" s="6"/>
      <c r="AE41" s="6"/>
      <c r="AF41" s="6"/>
      <c r="AG41" s="6"/>
      <c r="AH41" s="29"/>
      <c r="AI41" s="6"/>
      <c r="AK41" s="43"/>
      <c r="AL41" s="43"/>
      <c r="AM41" s="43"/>
      <c r="AN41" s="43"/>
      <c r="AO41" s="43"/>
      <c r="AP41" s="43"/>
      <c r="AQ41" s="43"/>
      <c r="AR41" s="43"/>
    </row>
    <row r="42" spans="1:44" ht="13.5" thickBot="1">
      <c r="A42" s="2" t="s">
        <v>48</v>
      </c>
      <c r="B42" s="8">
        <f t="shared" si="3"/>
        <v>0</v>
      </c>
      <c r="C42" s="6"/>
      <c r="D42" s="65"/>
      <c r="E42" s="65"/>
      <c r="F42" s="65"/>
      <c r="G42" s="6"/>
      <c r="H42" s="6"/>
      <c r="I42" s="6"/>
      <c r="J42" s="29"/>
      <c r="K42" s="65"/>
      <c r="L42" s="6"/>
      <c r="M42" s="29"/>
      <c r="N42" s="65"/>
      <c r="O42" s="65"/>
      <c r="P42" s="6"/>
      <c r="Q42" s="65"/>
      <c r="R42" s="65"/>
      <c r="S42" s="65"/>
      <c r="T42" s="6"/>
      <c r="U42" s="6"/>
      <c r="V42" s="29"/>
      <c r="W42" s="6"/>
      <c r="X42" s="6"/>
      <c r="Y42" s="36"/>
      <c r="Z42" s="6"/>
      <c r="AA42" s="6"/>
      <c r="AB42" s="6"/>
      <c r="AC42" s="6"/>
      <c r="AD42" s="6"/>
      <c r="AE42" s="6"/>
      <c r="AF42" s="6"/>
      <c r="AG42" s="6"/>
      <c r="AH42" s="29"/>
      <c r="AI42" s="6"/>
      <c r="AK42" s="43"/>
      <c r="AL42" s="43"/>
      <c r="AM42" s="43"/>
      <c r="AN42" s="43"/>
      <c r="AO42" s="43"/>
      <c r="AP42" s="43"/>
      <c r="AQ42" s="43"/>
      <c r="AR42" s="43"/>
    </row>
    <row r="43" spans="1:44" ht="13.5" thickBot="1">
      <c r="A43" s="2" t="s">
        <v>49</v>
      </c>
      <c r="B43" s="8">
        <f t="shared" si="3"/>
        <v>0</v>
      </c>
      <c r="C43" s="6"/>
      <c r="D43" s="65"/>
      <c r="E43" s="65"/>
      <c r="F43" s="65"/>
      <c r="G43" s="6"/>
      <c r="H43" s="6"/>
      <c r="I43" s="6"/>
      <c r="J43" s="29"/>
      <c r="K43" s="65"/>
      <c r="L43" s="6"/>
      <c r="M43" s="29"/>
      <c r="N43" s="65"/>
      <c r="O43" s="65"/>
      <c r="P43" s="6"/>
      <c r="Q43" s="65"/>
      <c r="R43" s="65"/>
      <c r="S43" s="65"/>
      <c r="T43" s="6"/>
      <c r="U43" s="6"/>
      <c r="V43" s="29"/>
      <c r="W43" s="6"/>
      <c r="X43" s="6"/>
      <c r="Y43" s="36"/>
      <c r="Z43" s="6"/>
      <c r="AA43" s="6"/>
      <c r="AB43" s="6"/>
      <c r="AC43" s="6"/>
      <c r="AD43" s="6"/>
      <c r="AE43" s="6"/>
      <c r="AF43" s="6"/>
      <c r="AG43" s="6"/>
      <c r="AH43" s="29"/>
      <c r="AI43" s="6"/>
      <c r="AK43" s="43"/>
      <c r="AL43" s="43"/>
      <c r="AM43" s="43"/>
      <c r="AN43" s="43"/>
      <c r="AO43" s="43"/>
      <c r="AP43" s="43"/>
      <c r="AQ43" s="43"/>
      <c r="AR43" s="43"/>
    </row>
    <row r="44" spans="1:44" ht="13.5" thickBot="1">
      <c r="A44" s="2" t="s">
        <v>2</v>
      </c>
      <c r="B44" s="8">
        <f t="shared" si="3"/>
        <v>74</v>
      </c>
      <c r="C44" s="6">
        <v>4</v>
      </c>
      <c r="D44" s="65"/>
      <c r="E44" s="65">
        <v>20</v>
      </c>
      <c r="F44" s="65"/>
      <c r="G44" s="6"/>
      <c r="H44" s="6"/>
      <c r="I44" s="6"/>
      <c r="J44" s="29"/>
      <c r="K44" s="65"/>
      <c r="L44" s="6"/>
      <c r="M44" s="29"/>
      <c r="N44" s="65"/>
      <c r="O44" s="65"/>
      <c r="P44" s="6"/>
      <c r="Q44" s="65"/>
      <c r="R44" s="65">
        <v>50</v>
      </c>
      <c r="S44" s="65"/>
      <c r="T44" s="6"/>
      <c r="U44" s="6"/>
      <c r="V44" s="29"/>
      <c r="W44" s="6"/>
      <c r="X44" s="6"/>
      <c r="Y44" s="36"/>
      <c r="Z44" s="6"/>
      <c r="AA44" s="6"/>
      <c r="AB44" s="6"/>
      <c r="AC44" s="6"/>
      <c r="AD44" s="6"/>
      <c r="AE44" s="6"/>
      <c r="AF44" s="6"/>
      <c r="AG44" s="6"/>
      <c r="AH44" s="29"/>
      <c r="AI44" s="6"/>
      <c r="AK44" s="43"/>
      <c r="AL44" s="43"/>
      <c r="AM44" s="43"/>
      <c r="AN44" s="43"/>
      <c r="AO44" s="43"/>
      <c r="AP44" s="43"/>
      <c r="AQ44" s="43"/>
      <c r="AR44" s="43"/>
    </row>
    <row r="45" spans="1:44" ht="13.5" thickBot="1">
      <c r="A45" s="2" t="s">
        <v>3</v>
      </c>
      <c r="B45" s="8">
        <f t="shared" si="3"/>
        <v>40</v>
      </c>
      <c r="C45" s="6"/>
      <c r="D45" s="65"/>
      <c r="E45" s="65"/>
      <c r="F45" s="65"/>
      <c r="G45" s="6"/>
      <c r="H45" s="6"/>
      <c r="I45" s="6"/>
      <c r="J45" s="29"/>
      <c r="K45" s="65"/>
      <c r="L45" s="6"/>
      <c r="M45" s="29"/>
      <c r="N45" s="65"/>
      <c r="O45" s="65"/>
      <c r="P45" s="6"/>
      <c r="Q45" s="65"/>
      <c r="R45" s="65"/>
      <c r="S45" s="65">
        <v>40</v>
      </c>
      <c r="T45" s="6"/>
      <c r="U45" s="6"/>
      <c r="V45" s="29"/>
      <c r="W45" s="6"/>
      <c r="X45" s="6"/>
      <c r="Y45" s="36"/>
      <c r="Z45" s="6"/>
      <c r="AA45" s="6"/>
      <c r="AB45" s="6"/>
      <c r="AC45" s="6"/>
      <c r="AD45" s="6"/>
      <c r="AE45" s="6"/>
      <c r="AF45" s="6"/>
      <c r="AG45" s="6"/>
      <c r="AH45" s="29"/>
      <c r="AI45" s="6"/>
      <c r="AK45" s="43"/>
      <c r="AL45" s="43"/>
      <c r="AM45" s="43"/>
      <c r="AN45" s="43"/>
      <c r="AO45" s="43"/>
      <c r="AP45" s="43"/>
      <c r="AQ45" s="43"/>
      <c r="AR45" s="43"/>
    </row>
    <row r="46" spans="1:44" ht="13.5" thickBot="1">
      <c r="A46" s="2" t="s">
        <v>50</v>
      </c>
      <c r="B46" s="8">
        <f t="shared" si="3"/>
        <v>8</v>
      </c>
      <c r="C46" s="6"/>
      <c r="D46" s="65">
        <v>8</v>
      </c>
      <c r="E46" s="65"/>
      <c r="F46" s="65"/>
      <c r="G46" s="6"/>
      <c r="H46" s="6"/>
      <c r="I46" s="6"/>
      <c r="J46" s="29"/>
      <c r="K46" s="65"/>
      <c r="L46" s="6"/>
      <c r="M46" s="29"/>
      <c r="N46" s="65"/>
      <c r="O46" s="65"/>
      <c r="P46" s="6"/>
      <c r="Q46" s="65"/>
      <c r="R46" s="65"/>
      <c r="S46" s="65"/>
      <c r="T46" s="6"/>
      <c r="U46" s="6"/>
      <c r="V46" s="29"/>
      <c r="W46" s="6"/>
      <c r="X46" s="6"/>
      <c r="Y46" s="36"/>
      <c r="Z46" s="6"/>
      <c r="AA46" s="6"/>
      <c r="AB46" s="6"/>
      <c r="AC46" s="6"/>
      <c r="AD46" s="6"/>
      <c r="AE46" s="6"/>
      <c r="AF46" s="6"/>
      <c r="AG46" s="6"/>
      <c r="AH46" s="29"/>
      <c r="AI46" s="6"/>
      <c r="AK46" s="43"/>
      <c r="AL46" s="43"/>
      <c r="AM46" s="43"/>
      <c r="AN46" s="43"/>
      <c r="AO46" s="43"/>
      <c r="AP46" s="43"/>
      <c r="AQ46" s="43"/>
      <c r="AR46" s="43"/>
    </row>
    <row r="47" spans="1:44" ht="13.5" thickBot="1">
      <c r="A47" s="2" t="s">
        <v>51</v>
      </c>
      <c r="B47" s="8">
        <f t="shared" si="3"/>
        <v>0</v>
      </c>
      <c r="C47" s="6"/>
      <c r="D47" s="65"/>
      <c r="E47" s="65"/>
      <c r="F47" s="65"/>
      <c r="G47" s="6"/>
      <c r="H47" s="6"/>
      <c r="I47" s="6"/>
      <c r="J47" s="29"/>
      <c r="K47" s="65"/>
      <c r="L47" s="6"/>
      <c r="M47" s="29"/>
      <c r="N47" s="65"/>
      <c r="O47" s="65"/>
      <c r="P47" s="6"/>
      <c r="Q47" s="65"/>
      <c r="R47" s="65"/>
      <c r="S47" s="65"/>
      <c r="T47" s="6"/>
      <c r="U47" s="6"/>
      <c r="V47" s="29"/>
      <c r="W47" s="6"/>
      <c r="X47" s="6"/>
      <c r="Y47" s="36"/>
      <c r="Z47" s="6"/>
      <c r="AA47" s="6"/>
      <c r="AB47" s="6"/>
      <c r="AC47" s="6"/>
      <c r="AD47" s="6"/>
      <c r="AE47" s="6"/>
      <c r="AF47" s="6"/>
      <c r="AG47" s="6"/>
      <c r="AH47" s="29"/>
      <c r="AI47" s="6"/>
      <c r="AK47" s="43"/>
      <c r="AL47" s="43"/>
      <c r="AM47" s="43"/>
      <c r="AN47" s="43"/>
      <c r="AO47" s="43"/>
      <c r="AP47" s="43"/>
      <c r="AQ47" s="43"/>
      <c r="AR47" s="43"/>
    </row>
    <row r="48" spans="1:44" ht="13.5" thickBot="1">
      <c r="A48" s="2" t="s">
        <v>52</v>
      </c>
      <c r="B48" s="8">
        <f t="shared" si="3"/>
        <v>5</v>
      </c>
      <c r="C48" s="6"/>
      <c r="D48" s="65"/>
      <c r="E48" s="65"/>
      <c r="F48" s="65"/>
      <c r="G48" s="6"/>
      <c r="H48" s="6"/>
      <c r="I48" s="6"/>
      <c r="J48" s="29"/>
      <c r="K48" s="65"/>
      <c r="L48" s="6"/>
      <c r="M48" s="29"/>
      <c r="N48" s="65"/>
      <c r="O48" s="65"/>
      <c r="P48" s="6">
        <v>5</v>
      </c>
      <c r="Q48" s="65"/>
      <c r="R48" s="65"/>
      <c r="S48" s="65"/>
      <c r="T48" s="6"/>
      <c r="U48" s="6"/>
      <c r="V48" s="29"/>
      <c r="W48" s="6"/>
      <c r="X48" s="6"/>
      <c r="Y48" s="36"/>
      <c r="Z48" s="6"/>
      <c r="AA48" s="6"/>
      <c r="AB48" s="6"/>
      <c r="AC48" s="6"/>
      <c r="AD48" s="6"/>
      <c r="AE48" s="6"/>
      <c r="AF48" s="6"/>
      <c r="AG48" s="6"/>
      <c r="AH48" s="29"/>
      <c r="AI48" s="6"/>
      <c r="AK48" s="43"/>
      <c r="AL48" s="43"/>
      <c r="AM48" s="43"/>
      <c r="AN48" s="43"/>
      <c r="AO48" s="43"/>
      <c r="AP48" s="43"/>
      <c r="AQ48" s="43"/>
      <c r="AR48" s="43"/>
    </row>
    <row r="49" spans="1:44" ht="13.5" thickBot="1">
      <c r="A49" s="2" t="s">
        <v>13</v>
      </c>
      <c r="B49" s="8">
        <f t="shared" si="3"/>
        <v>0</v>
      </c>
      <c r="C49" s="6"/>
      <c r="D49" s="65"/>
      <c r="E49" s="65"/>
      <c r="F49" s="65"/>
      <c r="G49" s="6"/>
      <c r="H49" s="6"/>
      <c r="I49" s="6"/>
      <c r="J49" s="29"/>
      <c r="K49" s="65"/>
      <c r="L49" s="6"/>
      <c r="M49" s="29"/>
      <c r="N49" s="65"/>
      <c r="O49" s="65"/>
      <c r="P49" s="6"/>
      <c r="Q49" s="65"/>
      <c r="R49" s="65"/>
      <c r="S49" s="65"/>
      <c r="T49" s="6"/>
      <c r="U49" s="6"/>
      <c r="V49" s="29"/>
      <c r="W49" s="6"/>
      <c r="X49" s="6"/>
      <c r="Y49" s="36"/>
      <c r="Z49" s="6"/>
      <c r="AA49" s="6"/>
      <c r="AB49" s="6"/>
      <c r="AC49" s="6"/>
      <c r="AD49" s="6"/>
      <c r="AE49" s="6"/>
      <c r="AF49" s="6"/>
      <c r="AG49" s="6"/>
      <c r="AH49" s="29"/>
      <c r="AI49" s="6"/>
      <c r="AK49" s="43"/>
      <c r="AL49" s="43"/>
      <c r="AM49" s="43"/>
      <c r="AN49" s="43"/>
      <c r="AO49" s="43"/>
      <c r="AP49" s="43"/>
      <c r="AQ49" s="43"/>
      <c r="AR49" s="43"/>
    </row>
    <row r="50" spans="1:44" ht="13.5" thickBot="1">
      <c r="A50" s="2" t="s">
        <v>53</v>
      </c>
      <c r="B50" s="8">
        <f t="shared" si="3"/>
        <v>0</v>
      </c>
      <c r="C50" s="6"/>
      <c r="D50" s="65"/>
      <c r="E50" s="65"/>
      <c r="F50" s="65"/>
      <c r="G50" s="6"/>
      <c r="H50" s="6"/>
      <c r="I50" s="6"/>
      <c r="J50" s="29"/>
      <c r="K50" s="65"/>
      <c r="L50" s="6"/>
      <c r="M50" s="29"/>
      <c r="N50" s="65"/>
      <c r="O50" s="65"/>
      <c r="P50" s="6"/>
      <c r="Q50" s="65"/>
      <c r="R50" s="65"/>
      <c r="S50" s="65"/>
      <c r="T50" s="6"/>
      <c r="U50" s="6"/>
      <c r="V50" s="29"/>
      <c r="W50" s="6"/>
      <c r="X50" s="6"/>
      <c r="Y50" s="36"/>
      <c r="Z50" s="6"/>
      <c r="AA50" s="6"/>
      <c r="AB50" s="6"/>
      <c r="AC50" s="6"/>
      <c r="AD50" s="6"/>
      <c r="AE50" s="6"/>
      <c r="AF50" s="6"/>
      <c r="AG50" s="6"/>
      <c r="AH50" s="29"/>
      <c r="AI50" s="6"/>
      <c r="AK50" s="43"/>
      <c r="AL50" s="43"/>
      <c r="AM50" s="43"/>
      <c r="AN50" s="43"/>
      <c r="AO50" s="43"/>
      <c r="AP50" s="43"/>
      <c r="AQ50" s="43"/>
      <c r="AR50" s="43"/>
    </row>
    <row r="51" spans="1:44" ht="16.5" customHeight="1" thickBot="1">
      <c r="A51" s="2" t="s">
        <v>115</v>
      </c>
      <c r="B51" s="64">
        <f>C51+D51+E51+F51+G51+H51+I51+J51+K51+L51+M51+N51+O51+P51+Q51+R51+S51+T51+U51+V51+W51+X51+Y51+Z51+AA51+AB51+AC51+AD51+AE51+AF51+AG51+AI51</f>
        <v>0</v>
      </c>
      <c r="C51" s="2"/>
      <c r="D51" s="2"/>
      <c r="E51" s="2"/>
      <c r="F51" s="2"/>
      <c r="G51" s="2"/>
      <c r="H51" s="2"/>
      <c r="I51" s="2"/>
      <c r="J51" s="65"/>
      <c r="K51" s="2"/>
      <c r="L51" s="6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5"/>
      <c r="AI51" s="2"/>
    </row>
  </sheetData>
  <mergeCells count="20">
    <mergeCell ref="Z4:AH4"/>
    <mergeCell ref="C4:J4"/>
    <mergeCell ref="K4:L4"/>
    <mergeCell ref="N4:V4"/>
    <mergeCell ref="W4:X4"/>
    <mergeCell ref="AB1:AH1"/>
    <mergeCell ref="B1:J1"/>
    <mergeCell ref="K1:L1"/>
    <mergeCell ref="N1:V1"/>
    <mergeCell ref="W1:X1"/>
    <mergeCell ref="AA2:AH2"/>
    <mergeCell ref="B3:J3"/>
    <mergeCell ref="K3:L3"/>
    <mergeCell ref="N3:V3"/>
    <mergeCell ref="W3:X3"/>
    <mergeCell ref="AA3:AH3"/>
    <mergeCell ref="B2:J2"/>
    <mergeCell ref="K2:L2"/>
    <mergeCell ref="N2:V2"/>
    <mergeCell ref="W2:X2"/>
  </mergeCells>
  <phoneticPr fontId="4" type="noConversion"/>
  <pageMargins left="0.16" right="0.16" top="0.23" bottom="0.23" header="0.16" footer="0.15"/>
  <pageSetup paperSize="9" scale="7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51"/>
  <sheetViews>
    <sheetView zoomScale="75" workbookViewId="0">
      <selection activeCell="F5" sqref="F5"/>
    </sheetView>
  </sheetViews>
  <sheetFormatPr defaultRowHeight="12.75"/>
  <cols>
    <col min="1" max="1" width="24" customWidth="1"/>
    <col min="2" max="2" width="6.28515625" customWidth="1"/>
    <col min="3" max="3" width="5.5703125" customWidth="1"/>
    <col min="4" max="4" width="5.85546875" customWidth="1"/>
    <col min="5" max="6" width="5.42578125" customWidth="1"/>
    <col min="7" max="7" width="6" customWidth="1"/>
    <col min="8" max="8" width="4.5703125" customWidth="1"/>
    <col min="9" max="9" width="4.28515625" customWidth="1"/>
    <col min="10" max="10" width="0.42578125" customWidth="1"/>
    <col min="11" max="11" width="6.28515625" customWidth="1"/>
    <col min="12" max="12" width="5.85546875" customWidth="1"/>
    <col min="13" max="13" width="1" customWidth="1"/>
    <col min="14" max="14" width="5.5703125" customWidth="1"/>
    <col min="15" max="15" width="5.42578125" customWidth="1"/>
    <col min="16" max="16" width="5.85546875" customWidth="1"/>
    <col min="17" max="17" width="6.5703125" customWidth="1"/>
    <col min="18" max="18" width="6.85546875" customWidth="1"/>
    <col min="19" max="19" width="5.42578125" customWidth="1"/>
    <col min="20" max="20" width="5.85546875" customWidth="1"/>
    <col min="21" max="21" width="5.42578125" customWidth="1"/>
    <col min="22" max="22" width="0.42578125" customWidth="1"/>
    <col min="23" max="23" width="6.28515625" customWidth="1"/>
    <col min="24" max="24" width="5.42578125" customWidth="1"/>
    <col min="25" max="25" width="6.140625" customWidth="1"/>
    <col min="26" max="26" width="5.5703125" customWidth="1"/>
    <col min="27" max="27" width="6.140625" customWidth="1"/>
    <col min="28" max="28" width="5.28515625" customWidth="1"/>
    <col min="29" max="29" width="6" customWidth="1"/>
    <col min="30" max="31" width="6.140625" customWidth="1"/>
    <col min="32" max="32" width="1.140625" customWidth="1"/>
    <col min="33" max="33" width="4.42578125" customWidth="1"/>
    <col min="34" max="34" width="0.85546875" customWidth="1"/>
    <col min="35" max="35" width="6.7109375" customWidth="1"/>
  </cols>
  <sheetData>
    <row r="1" spans="1:44" ht="13.5" thickBot="1">
      <c r="A1" s="1" t="s">
        <v>75</v>
      </c>
      <c r="B1" s="83" t="s">
        <v>89</v>
      </c>
      <c r="C1" s="82"/>
      <c r="D1" s="82"/>
      <c r="E1" s="82"/>
      <c r="F1" s="82"/>
      <c r="G1" s="82"/>
      <c r="H1" s="82"/>
      <c r="I1" s="82"/>
      <c r="J1" s="84"/>
      <c r="K1" s="83"/>
      <c r="L1" s="84"/>
      <c r="M1" s="39"/>
      <c r="N1" s="83" t="s">
        <v>90</v>
      </c>
      <c r="O1" s="82"/>
      <c r="P1" s="82"/>
      <c r="Q1" s="82"/>
      <c r="R1" s="82"/>
      <c r="S1" s="82"/>
      <c r="T1" s="82"/>
      <c r="U1" s="82"/>
      <c r="V1" s="84"/>
      <c r="W1" s="83">
        <v>15</v>
      </c>
      <c r="X1" s="82"/>
      <c r="Y1" s="39"/>
      <c r="Z1" s="38"/>
      <c r="AA1" s="37"/>
      <c r="AB1" s="82"/>
      <c r="AC1" s="82"/>
      <c r="AD1" s="82"/>
      <c r="AE1" s="82"/>
      <c r="AF1" s="82"/>
      <c r="AG1" s="82"/>
      <c r="AH1" s="82"/>
      <c r="AI1" s="39">
        <f>AI3*100/B7</f>
        <v>0</v>
      </c>
    </row>
    <row r="2" spans="1:44" ht="26.25" thickBot="1">
      <c r="A2" s="1" t="s">
        <v>4</v>
      </c>
      <c r="B2" s="77">
        <f>B3*100/2350</f>
        <v>16.369617021276596</v>
      </c>
      <c r="C2" s="73"/>
      <c r="D2" s="73"/>
      <c r="E2" s="73"/>
      <c r="F2" s="73"/>
      <c r="G2" s="73"/>
      <c r="H2" s="73"/>
      <c r="I2" s="73"/>
      <c r="J2" s="78"/>
      <c r="K2" s="77">
        <f>K3*100/B7</f>
        <v>0</v>
      </c>
      <c r="L2" s="78"/>
      <c r="M2" s="10"/>
      <c r="N2" s="77">
        <f>N3*100/2350</f>
        <v>32.28958382978724</v>
      </c>
      <c r="O2" s="73"/>
      <c r="P2" s="73"/>
      <c r="Q2" s="73"/>
      <c r="R2" s="73"/>
      <c r="S2" s="73"/>
      <c r="T2" s="73"/>
      <c r="U2" s="73"/>
      <c r="V2" s="78"/>
      <c r="W2" s="77">
        <f>W3*100/1970</f>
        <v>0</v>
      </c>
      <c r="X2" s="73"/>
      <c r="Y2" s="10"/>
      <c r="Z2" s="9"/>
      <c r="AA2" s="73">
        <f>AA3*100/B7</f>
        <v>0</v>
      </c>
      <c r="AB2" s="73"/>
      <c r="AC2" s="73"/>
      <c r="AD2" s="73"/>
      <c r="AE2" s="73"/>
      <c r="AF2" s="73"/>
      <c r="AG2" s="73"/>
      <c r="AH2" s="73"/>
      <c r="AI2" s="10">
        <f>AI3*100/B7</f>
        <v>0</v>
      </c>
    </row>
    <row r="3" spans="1:44" ht="13.5" thickBot="1">
      <c r="A3" s="2" t="s">
        <v>5</v>
      </c>
      <c r="B3" s="74">
        <f>C7+D7+E7+F7+G7+H7+I7+J7</f>
        <v>384.68599999999998</v>
      </c>
      <c r="C3" s="75"/>
      <c r="D3" s="75"/>
      <c r="E3" s="75"/>
      <c r="F3" s="75"/>
      <c r="G3" s="75"/>
      <c r="H3" s="75"/>
      <c r="I3" s="75"/>
      <c r="J3" s="76"/>
      <c r="K3" s="74">
        <f>K7+L7</f>
        <v>0</v>
      </c>
      <c r="L3" s="76"/>
      <c r="M3" s="11"/>
      <c r="N3" s="74">
        <f>N7+O7+P7+Q7+R7+S7+T7+U7+V7</f>
        <v>758.80522000000008</v>
      </c>
      <c r="O3" s="75"/>
      <c r="P3" s="75"/>
      <c r="Q3" s="75"/>
      <c r="R3" s="75"/>
      <c r="S3" s="75"/>
      <c r="T3" s="75"/>
      <c r="U3" s="75"/>
      <c r="V3" s="76"/>
      <c r="W3" s="77">
        <f>W7+X7+Y7+Z7</f>
        <v>0</v>
      </c>
      <c r="X3" s="75"/>
      <c r="Y3" s="11"/>
      <c r="Z3" s="12"/>
      <c r="AA3" s="75"/>
      <c r="AB3" s="75"/>
      <c r="AC3" s="75"/>
      <c r="AD3" s="75"/>
      <c r="AE3" s="75"/>
      <c r="AF3" s="75"/>
      <c r="AG3" s="75"/>
      <c r="AH3" s="75"/>
      <c r="AI3" s="11">
        <f>AI7</f>
        <v>0</v>
      </c>
    </row>
    <row r="4" spans="1:44" ht="15" customHeight="1" thickBot="1">
      <c r="A4" s="2"/>
      <c r="B4" s="3"/>
      <c r="C4" s="79" t="s">
        <v>1</v>
      </c>
      <c r="D4" s="80"/>
      <c r="E4" s="80"/>
      <c r="F4" s="80"/>
      <c r="G4" s="80"/>
      <c r="H4" s="80"/>
      <c r="I4" s="80"/>
      <c r="J4" s="81"/>
      <c r="K4" s="79" t="s">
        <v>6</v>
      </c>
      <c r="L4" s="81"/>
      <c r="M4" s="3"/>
      <c r="N4" s="79" t="s">
        <v>7</v>
      </c>
      <c r="O4" s="80"/>
      <c r="P4" s="80"/>
      <c r="Q4" s="80"/>
      <c r="R4" s="80"/>
      <c r="S4" s="80"/>
      <c r="T4" s="80"/>
      <c r="U4" s="80"/>
      <c r="V4" s="81"/>
      <c r="W4" s="79" t="s">
        <v>8</v>
      </c>
      <c r="X4" s="80"/>
      <c r="Y4" s="3"/>
      <c r="Z4" s="79" t="s">
        <v>9</v>
      </c>
      <c r="AA4" s="80"/>
      <c r="AB4" s="80"/>
      <c r="AC4" s="80"/>
      <c r="AD4" s="80"/>
      <c r="AE4" s="80"/>
      <c r="AF4" s="80"/>
      <c r="AG4" s="80"/>
      <c r="AH4" s="80"/>
      <c r="AI4" s="3" t="s">
        <v>10</v>
      </c>
    </row>
    <row r="5" spans="1:44" ht="133.5" customHeight="1" thickBot="1">
      <c r="A5" s="2" t="s">
        <v>85</v>
      </c>
      <c r="B5" s="5" t="s">
        <v>11</v>
      </c>
      <c r="C5" s="72" t="s">
        <v>137</v>
      </c>
      <c r="D5" s="72" t="s">
        <v>143</v>
      </c>
      <c r="E5" s="40" t="s">
        <v>2</v>
      </c>
      <c r="F5" s="72" t="s">
        <v>106</v>
      </c>
      <c r="G5" s="5" t="s">
        <v>71</v>
      </c>
      <c r="H5" s="5"/>
      <c r="I5" s="61"/>
      <c r="J5" s="27"/>
      <c r="K5" s="5"/>
      <c r="L5" s="5"/>
      <c r="M5" s="27"/>
      <c r="N5" s="72" t="s">
        <v>116</v>
      </c>
      <c r="O5" s="72" t="s">
        <v>128</v>
      </c>
      <c r="P5" s="72" t="s">
        <v>92</v>
      </c>
      <c r="Q5" s="72" t="s">
        <v>100</v>
      </c>
      <c r="R5" s="5" t="s">
        <v>13</v>
      </c>
      <c r="S5" s="5" t="s">
        <v>2</v>
      </c>
      <c r="T5" s="5" t="s">
        <v>102</v>
      </c>
      <c r="U5" s="5"/>
      <c r="V5" s="27"/>
      <c r="W5" s="5"/>
      <c r="X5" s="5"/>
      <c r="Y5" s="35"/>
      <c r="Z5" s="5"/>
      <c r="AA5" s="40"/>
      <c r="AB5" s="5"/>
      <c r="AC5" s="5"/>
      <c r="AD5" s="40"/>
      <c r="AE5" s="5"/>
      <c r="AF5" s="5"/>
      <c r="AG5" s="52"/>
      <c r="AH5" s="62"/>
      <c r="AI5" s="40"/>
      <c r="AK5" s="47"/>
      <c r="AL5" s="44"/>
      <c r="AM5" s="47"/>
      <c r="AN5" s="47"/>
      <c r="AO5" s="47"/>
      <c r="AP5" s="44"/>
      <c r="AQ5" s="44"/>
      <c r="AR5" s="48"/>
    </row>
    <row r="6" spans="1:44" ht="13.5" thickBot="1">
      <c r="A6" s="2" t="s">
        <v>15</v>
      </c>
      <c r="B6" s="24"/>
      <c r="C6" s="4">
        <v>150</v>
      </c>
      <c r="D6" s="4">
        <v>175</v>
      </c>
      <c r="E6" s="4">
        <v>20</v>
      </c>
      <c r="F6" s="4">
        <v>200</v>
      </c>
      <c r="G6" s="4">
        <v>10</v>
      </c>
      <c r="H6" s="4"/>
      <c r="I6" s="4"/>
      <c r="J6" s="28"/>
      <c r="K6" s="4"/>
      <c r="L6" s="4"/>
      <c r="M6" s="28"/>
      <c r="N6" s="4">
        <v>60</v>
      </c>
      <c r="O6" s="4">
        <v>200</v>
      </c>
      <c r="P6" s="6">
        <v>50</v>
      </c>
      <c r="Q6" s="4">
        <v>150</v>
      </c>
      <c r="R6" s="4">
        <v>200</v>
      </c>
      <c r="S6" s="4">
        <v>50</v>
      </c>
      <c r="T6" s="4">
        <v>40</v>
      </c>
      <c r="U6" s="4"/>
      <c r="V6" s="28"/>
      <c r="W6" s="4"/>
      <c r="X6" s="4"/>
      <c r="Y6" s="24"/>
      <c r="Z6" s="4"/>
      <c r="AA6" s="4"/>
      <c r="AB6" s="4"/>
      <c r="AC6" s="4"/>
      <c r="AD6" s="4"/>
      <c r="AE6" s="4"/>
      <c r="AF6" s="4"/>
      <c r="AG6" s="1"/>
      <c r="AH6" s="31"/>
      <c r="AI6" s="4"/>
      <c r="AK6" s="45"/>
      <c r="AL6" s="45"/>
      <c r="AM6" s="45"/>
      <c r="AN6" s="45"/>
      <c r="AO6" s="45"/>
      <c r="AP6" s="45"/>
      <c r="AQ6" s="45"/>
      <c r="AR6" s="45"/>
    </row>
    <row r="7" spans="1:44" ht="13.5" thickBot="1">
      <c r="A7" s="2" t="s">
        <v>0</v>
      </c>
      <c r="B7" s="8">
        <f>C7+D7+E7+F7+G7+H7+I7+J7+K7+L7+M7+N7+O7+P7+Q7+R7+S7+T7+U7+V7+W7+X7+Y7+Z7+AA7+AB7+AC7+AD7+AE7+AF7+AG7+AI7</f>
        <v>1143.4912200000001</v>
      </c>
      <c r="C7" s="8">
        <f>C8*1.1928+C9*1.1928+C10*1.3875+C11*1.1928+C12*3.01+C13*3.01+C14*0.783+C15*7.09+C16*8.99+C17*0.52+C18*1.18+C19*1.56+C20*3.6+C21*1.3659+C22*3.34+C23*3.68+C24*3.314+C25*3.314+C26*3.314+C27*3.314+C28*3.314+C29*3.314+C30*3.314+C31*3.314+C32*3.74+C34*3.558+C35*0.466+C36*0.396+C37*0.56+C38*0.2744+C39*0.2744+C40*0.2744+C41*0.2744+C42*0.2744+C43*0.2744+C44*2.26+C45*1.81+C46*3.78+C49*0.31+C50*3.69</f>
        <v>84.066000000000003</v>
      </c>
      <c r="D7" s="8">
        <f>D8*1.1928+D9*1.1928+D10*1.3875+D11*1.1928+D12*3.01+D13*3.01+D14*0.783+D15*7.09+D16*8.99+D17*0.52+D18*1.18+D19*1.56+D20*3.6+D21*1.3659+D22*3.34+D23*3.68+D24*3.314+D25*3.314+D26*3.314+D27*3.314+D28*3.314+D29*3.314+D30*3.314+D31*3.314+D32*3.74+D34*3.558+D35*0.466+D36*0.396+D37*0.56+D38*0.2744+D39*0.2744+D40*0.2744+D41*0.2744+D42*0.2744+D43*0.2744+D44*2.26+D45*1.81+D46*3.78+D49*0.31+D50*3.69+D51*0.52</f>
        <v>94.12</v>
      </c>
      <c r="E7" s="8">
        <f>E8*1.1928+E9*1.1928+E10*1.3875+E11*1.1928+E12*3.01+E13*3.01+E14*0.783+E15*7.09+E16*8.99+E17*0.52+E18*1.18+E19*1.56+E20*3.6+E21*1.3659+E22*3.34+E23*3.68+E24*3.314+E25*3.314+E26*3.314+E27*3.314+E28*3.314+E29*3.314+E30*3.314+E31*3.314+E32*3.74+E34*3.558+E35*0.466+E36*0.396+E37*0.56+E38*0.2744+E39*0.2744+E40*0.2744+E41*0.2744+E42*0.2744+E43*0.2744+E44*2.26+E45*1.81+E46*3.78+E49*0.31+E50*3.69</f>
        <v>45.199999999999996</v>
      </c>
      <c r="F7" s="8">
        <f>F8*1.1928+F9*1.1928+F10*1.3875+F11*1.1928+F12*3.01+F13*3.01+F14*0.783+F15*7.09+F16*8.99+F17*0.52+F18*1.18+F19*1.56+F20*3.6+F21*1.3659+F22*3.34+F23*3.68+F24*3.314+F25*3.314+F26*3.314+F27*3.314+F28*3.314+F29*3.314+F30*3.314+F31*3.314+F32*3.74+F34*3.558+F35*0.466+F36*0.396+F37*0.56+F38*0.2744+F39*0.2744+F40*0.2744+F41*0.2744+F42*0.2744+F43*0.2744+F44*2.26+F45*1.81+F46*3.78+F49*0.31+F50*3.69</f>
        <v>125.72000000000001</v>
      </c>
      <c r="G7" s="8">
        <f>G8*1.1928+G9*1.1928+G10*1.3875+G11*1.1928+G12*3.01+G13*3.01+G14*0.783+G15*7.09+G16*8.99+G17*0.52+G18*1.18+G19*1.56+G20*3.6+G21*1.3659+G22*3.34+G23*3.68+G24*3.314+G25*3.314+G26*3.314+G27*3.314+G28*3.314+G29*3.314+G30*3.314+G31*3.314+G32*3.74+G34*3.558+G35*0.466+G36*0.396+G37*0.56+G38*0.2744+G39*0.2744+G40*0.2744+G41*0.2744+G42*0.2744+G43*0.2744+G44*2.26+G45*1.81+G46*3.78+G49*0.31+G50*3.69</f>
        <v>35.58</v>
      </c>
      <c r="H7" s="8">
        <f>H8*1.1928+H9*1.1928+H10*1.3875+H11*1.1928+H12*3.01+H13*3.01+H14*0.783+H15*7.09+H16*8.99+H17*0.52+H18*1.18+H19*1.56+H20*3.6+H21*1.3659+H22*3.34+H23*3.68+H24*3.314+H25*3.314+H26*3.314+H27*3.314+H28*3.314+H29*3.314+H30*3.314+H31*3.314+H32*3.74+H34*3.558+H35*0.466+H36*0.396+H37*0.56+H38*0.2744+H39*0.2744+H40*0.2744+H41*0.2744+H42*0.2744+H43*0.2744+H44*2.26+H45*1.81+H46*3.78+H49*0.31+H50*3.69</f>
        <v>0</v>
      </c>
      <c r="I7" s="8">
        <f>I8*1.1928+I9*1.1928+I10*1.3875+I11*1.1928+I12*3.01+I13*3.01+I14*0.783+I15*7.09+I16*8.99+I17*0.52+I18*1.18+I19*1.56+I20*3.6+I21*1.3659+I22*3.34+I23*3.68+I24*3.314+I25*3.314+I26*3.314+I27*3.314+I28*3.314+I29*3.314+I30*3.314+I31*3.314+I32*3.74+I34*3.558+I35*0.466+I36*0.396+I37*0.56+I38*0.2744+I39*0.2744+I40*0.2744+I41*0.2744+I42*0.2744+I43*0.2744+I44*2.26+I45*1.81+I46*3.78+I49*0.31+I50*3.69</f>
        <v>0</v>
      </c>
      <c r="J7" s="29"/>
      <c r="K7" s="8">
        <f>K8*1.1928+K9*1.1928+K10*1.3875+K11*1.1928+K12*3.01+K13*3.01+K14*0.783+K15*7.09+K16*8.99+K17*0.52+K18*1.18+K19*1.56+K20*3.6+K21*1.3659+K22*3.34+K23*3.68+K24*3.314+K25*3.314+K26*3.314+K27*3.314+K28*3.314+K29*3.314+K30*3.314+K31*3.314+K32*3.74+K34*3.558+K35*0.466+K36*0.396+K37*0.56+K38*0.2744+K39*0.2744+K40*0.2744+K41*0.2744+K42*0.2744+K43*0.2744+K44*2.26+K45*1.81+K46*3.78+K49*0.31+K50*3.69</f>
        <v>0</v>
      </c>
      <c r="L7" s="8">
        <f>L8*1.1928+L9*1.1928+L10*1.3875+L11*1.1928+L12*3.01+L13*3.01+L14*0.783+L15*7.09+L16*8.99+L17*0.52+L18*1.18+L19*1.56+L20*3.6+L21*1.3659+L22*3.34+L23*3.68+L24*3.314+L25*3.314+L26*3.314+L27*3.314+L28*3.314+L29*3.314+L30*3.314+L31*3.314+L32*3.74+L34*3.558+L35*0.466+L36*0.396+L37*0.56+L38*0.2744+L39*0.2744+L40*0.2744+L41*0.2744+L42*0.2744+L43*0.2744+L44*2.26+L45*1.81+L46*3.78+L49*0.31+L50*3.69</f>
        <v>0</v>
      </c>
      <c r="M7" s="29"/>
      <c r="N7" s="8">
        <f>N8*1.1928+N9*1.1928+N10*1.3875+N11*1.1928+N12*3.01+N13*3.01+N14*0.783+N15*7.09+N16*8.99+N17*0.52+N18*1.18+N19*1.56+N20*3.6+N21*1.3659+N22*3.34+N23*3.68+N24*3.314+N25*3.314+N26*3.314+N27*3.314+N28*3.314+N29*3.314+N30*3.314+N31*3.314+N32*3.74+N34*3.558+N35*0.466+N36*0.396+N37*0.56+N38*0.2744+N39*0.2744+N40*0.2744+N41*0.2744+N42*0.2744+N43*0.2744+N44*2.26+N45*1.81+N46*3.78+N49*0.31+N50*3.69</f>
        <v>112.28712000000002</v>
      </c>
      <c r="O7" s="8">
        <f t="shared" ref="O7:U7" si="0">O8*1.1928+O9*1.1928+O10*1.3875+O11*1.1928+O12*3.01+O13*3.01+O14*0.783+O15*7.09+O16*8.99+O17*0.52+O18*1.18+O19*1.56+O20*3.6+O21*1.3659+O22*3.34+O23*3.68+O24*3.314+O25*3.314+O26*3.314+O27*3.314+O28*3.314+O29*3.314+O30*3.314+O31*3.314+O32*3.74+O34*3.558+O35*0.466+O36*0.396+O37*0.56+O38*0.2744+O39*0.2744+O40*0.2744+O41*0.2744+O42*0.2744+O43*0.2744+O44*2.26+O45*1.81+O46*3.78+O49*0.31+O50*3.69</f>
        <v>86.985600000000005</v>
      </c>
      <c r="P7" s="8">
        <f t="shared" si="0"/>
        <v>168.4425</v>
      </c>
      <c r="Q7" s="8">
        <f t="shared" si="0"/>
        <v>143.69</v>
      </c>
      <c r="R7" s="8">
        <f>R8*1.1928+R9*1.1928+R10*1.3875+R11*1.1928+R12*3.01+R13*3.01+R14*0.783+R15*7.09+R16*8.99+R17*0.52+R18*1.18+R19*1.56+R20*3.6+R21*1.3659+R22*3.34+R23*3.68+R24*3.314+R25*3.314+R26*3.314+R27*3.314+R28*3.314+R29*3.314+R30*3.314+R31*3.314+R32*3.74+R34*3.558+R35*0.466+R36*0.396+R37*0.56+R38*0.2744+R39*0.2744+R40*0.2744+R41*0.2744+R42*0.2744+R43*0.2744+R44*2.26+R45*1.81+R46*3.78+R49*0.31+R50*3.69</f>
        <v>62</v>
      </c>
      <c r="S7" s="8">
        <f t="shared" si="0"/>
        <v>112.99999999999999</v>
      </c>
      <c r="T7" s="8">
        <f t="shared" si="0"/>
        <v>72.400000000000006</v>
      </c>
      <c r="U7" s="8">
        <f t="shared" si="0"/>
        <v>0</v>
      </c>
      <c r="V7" s="29"/>
      <c r="W7" s="8"/>
      <c r="X7" s="8"/>
      <c r="Y7" s="8">
        <f t="shared" ref="Y7:AG7" si="1">Y8*1.1928+Y9*1.1928+Y10*1.3875+Y11*1.1928+Y12*3.01+Y13*3.01+Y14*0.783+Y15*7.09+Y16*8.99+Y17*0.52+Y18*1.18+Y19*1.56+Y20*3.6+Y21*1.3659+Y22*3.34+Y23*3.68+Y24*3.314+Y25*3.314+Y26*3.314+Y27*3.314+Y28*3.314+Y29*3.314+Y30*3.314+Y31*3.314+Y32*3.74+Y34*3.558+Y35*0.466+Y36*0.396+Y37*0.56+Y38*0.2744+Y39*0.2744+Y40*0.2744+Y41*0.2744+Y42*0.2744+Y43*0.2744+Y44*2.26+Y45*1.81+Y46*3.78+Y49*0.31+Y50*3.69</f>
        <v>0</v>
      </c>
      <c r="Z7" s="8">
        <f t="shared" si="1"/>
        <v>0</v>
      </c>
      <c r="AA7" s="8">
        <f t="shared" si="1"/>
        <v>0</v>
      </c>
      <c r="AB7" s="8">
        <f t="shared" si="1"/>
        <v>0</v>
      </c>
      <c r="AC7" s="8">
        <f t="shared" si="1"/>
        <v>0</v>
      </c>
      <c r="AD7" s="8">
        <f t="shared" si="1"/>
        <v>0</v>
      </c>
      <c r="AE7" s="8">
        <f t="shared" si="1"/>
        <v>0</v>
      </c>
      <c r="AF7" s="8">
        <f t="shared" si="1"/>
        <v>0</v>
      </c>
      <c r="AG7" s="8">
        <f t="shared" si="1"/>
        <v>0</v>
      </c>
      <c r="AH7" s="31"/>
      <c r="AI7" s="8">
        <f>AI8*1.1928+AI9*1.1928+AI10*1.3875+AI11*1.1928+AI12*3.01+AI13*3.01+AI14*0.783+AI15*7.09+AI16*8.99+AI17*0.52+AI18*1.18+AI19*1.56+AI20*3.6+AI21*1.3659+AI22*3.34+AI23*3.68+AI24*3.314+AI25*3.314+AI26*3.314+AI27*3.314+AI28*3.314+AI29*3.314+AI30*3.314+AI31*3.314+AI32*3.74+AI34*3.558+AI35*0.466+AI36*0.396+AI37*0.56+AI38*0.2744+AI39*0.2744+AI40*0.2744+AI41*0.2744+AI42*0.2744+AI43*0.2744+AI44*2.26+AI45*1.81+AI46*3.78+AI49*0.31+AI50*3.69</f>
        <v>0</v>
      </c>
      <c r="AK7" s="46"/>
      <c r="AL7" s="46"/>
      <c r="AM7" s="46"/>
      <c r="AN7" s="46"/>
      <c r="AO7" s="46"/>
      <c r="AP7" s="46"/>
      <c r="AQ7" s="46"/>
      <c r="AR7" s="46"/>
    </row>
    <row r="8" spans="1:44" ht="13.5" thickBot="1">
      <c r="A8" s="2" t="s">
        <v>16</v>
      </c>
      <c r="B8" s="8">
        <f t="shared" ref="B8:B20" si="2">C8+D8+E8+F8+G8+H8+I8+J8+K8+L8+M8+N8+O8+P8+Q8+R8+S8+T8+U8+V8+W8+X8+Y8+Z8+AA8+AB8+AC8+AD8+AE8+AG8+AH8+AI8</f>
        <v>0</v>
      </c>
      <c r="C8" s="65"/>
      <c r="D8" s="65"/>
      <c r="E8" s="65"/>
      <c r="F8" s="65"/>
      <c r="G8" s="65"/>
      <c r="H8" s="6"/>
      <c r="I8" s="6"/>
      <c r="J8" s="29"/>
      <c r="K8" s="65"/>
      <c r="L8" s="65"/>
      <c r="M8" s="29"/>
      <c r="N8" s="65"/>
      <c r="O8" s="6"/>
      <c r="P8" s="65"/>
      <c r="Q8" s="65"/>
      <c r="R8" s="65"/>
      <c r="S8" s="65"/>
      <c r="T8" s="65"/>
      <c r="U8" s="6"/>
      <c r="V8" s="29"/>
      <c r="W8" s="6"/>
      <c r="X8" s="6"/>
      <c r="Y8" s="36"/>
      <c r="Z8" s="6"/>
      <c r="AA8" s="6"/>
      <c r="AB8" s="6"/>
      <c r="AC8" s="6"/>
      <c r="AD8" s="6"/>
      <c r="AE8" s="6"/>
      <c r="AF8" s="6"/>
      <c r="AG8" s="6"/>
      <c r="AH8" s="29"/>
      <c r="AI8" s="6"/>
      <c r="AK8" s="43"/>
      <c r="AL8" s="43"/>
      <c r="AM8" s="43"/>
      <c r="AN8" s="43"/>
      <c r="AO8" s="43"/>
      <c r="AP8" s="43"/>
      <c r="AQ8" s="43"/>
      <c r="AR8" s="43"/>
    </row>
    <row r="9" spans="1:44" ht="13.5" thickBot="1">
      <c r="A9" s="2" t="s">
        <v>17</v>
      </c>
      <c r="B9" s="8">
        <f t="shared" si="2"/>
        <v>0</v>
      </c>
      <c r="C9" s="65"/>
      <c r="D9" s="65"/>
      <c r="E9" s="65"/>
      <c r="F9" s="65"/>
      <c r="G9" s="65"/>
      <c r="H9" s="6"/>
      <c r="I9" s="6"/>
      <c r="J9" s="29"/>
      <c r="K9" s="65"/>
      <c r="L9" s="65"/>
      <c r="M9" s="29"/>
      <c r="N9" s="65"/>
      <c r="O9" s="6"/>
      <c r="P9" s="65"/>
      <c r="Q9" s="65"/>
      <c r="R9" s="65"/>
      <c r="S9" s="65"/>
      <c r="T9" s="65"/>
      <c r="U9" s="6"/>
      <c r="V9" s="29"/>
      <c r="W9" s="6"/>
      <c r="X9" s="6"/>
      <c r="Y9" s="36"/>
      <c r="Z9" s="6"/>
      <c r="AA9" s="6"/>
      <c r="AB9" s="6"/>
      <c r="AC9" s="6"/>
      <c r="AD9" s="6"/>
      <c r="AE9" s="6"/>
      <c r="AF9" s="6"/>
      <c r="AG9" s="6"/>
      <c r="AH9" s="29"/>
      <c r="AI9" s="6"/>
      <c r="AK9" s="43"/>
      <c r="AL9" s="43"/>
      <c r="AM9" s="43"/>
      <c r="AN9" s="43"/>
      <c r="AO9" s="43"/>
      <c r="AP9" s="43"/>
      <c r="AQ9" s="43"/>
      <c r="AR9" s="43"/>
    </row>
    <row r="10" spans="1:44" ht="13.5" thickBot="1">
      <c r="A10" s="2" t="s">
        <v>18</v>
      </c>
      <c r="B10" s="8">
        <f t="shared" si="2"/>
        <v>0</v>
      </c>
      <c r="C10" s="65"/>
      <c r="D10" s="65"/>
      <c r="E10" s="65"/>
      <c r="F10" s="65"/>
      <c r="G10" s="65"/>
      <c r="H10" s="6"/>
      <c r="I10" s="6"/>
      <c r="J10" s="29"/>
      <c r="K10" s="65"/>
      <c r="L10" s="65"/>
      <c r="M10" s="29"/>
      <c r="N10" s="65"/>
      <c r="O10" s="6"/>
      <c r="P10" s="65"/>
      <c r="Q10" s="65"/>
      <c r="R10" s="65"/>
      <c r="S10" s="65"/>
      <c r="T10" s="65"/>
      <c r="U10" s="6"/>
      <c r="V10" s="29"/>
      <c r="W10" s="6"/>
      <c r="X10" s="6"/>
      <c r="Y10" s="36"/>
      <c r="Z10" s="6"/>
      <c r="AA10" s="6"/>
      <c r="AB10" s="6"/>
      <c r="AC10" s="6"/>
      <c r="AD10" s="6"/>
      <c r="AE10" s="6"/>
      <c r="AF10" s="6"/>
      <c r="AG10" s="6"/>
      <c r="AH10" s="29"/>
      <c r="AI10" s="6"/>
      <c r="AK10" s="43"/>
      <c r="AL10" s="43"/>
      <c r="AM10" s="43"/>
      <c r="AN10" s="43"/>
      <c r="AO10" s="43"/>
      <c r="AP10" s="43"/>
      <c r="AQ10" s="43"/>
      <c r="AR10" s="43"/>
    </row>
    <row r="11" spans="1:44" ht="13.5" thickBot="1">
      <c r="A11" s="2" t="s">
        <v>19</v>
      </c>
      <c r="B11" s="8">
        <f t="shared" si="2"/>
        <v>0</v>
      </c>
      <c r="C11" s="65"/>
      <c r="D11" s="65"/>
      <c r="E11" s="65"/>
      <c r="F11" s="65"/>
      <c r="G11" s="65"/>
      <c r="H11" s="6"/>
      <c r="I11" s="6"/>
      <c r="J11" s="29"/>
      <c r="K11" s="65"/>
      <c r="L11" s="65"/>
      <c r="M11" s="29"/>
      <c r="N11" s="65"/>
      <c r="O11" s="6"/>
      <c r="P11" s="65"/>
      <c r="Q11" s="65"/>
      <c r="R11" s="65"/>
      <c r="S11" s="65"/>
      <c r="T11" s="65"/>
      <c r="U11" s="6"/>
      <c r="V11" s="29"/>
      <c r="W11" s="6"/>
      <c r="X11" s="6"/>
      <c r="Y11" s="36"/>
      <c r="Z11" s="6"/>
      <c r="AA11" s="6"/>
      <c r="AB11" s="6"/>
      <c r="AC11" s="6"/>
      <c r="AD11" s="6"/>
      <c r="AE11" s="6"/>
      <c r="AF11" s="6"/>
      <c r="AG11" s="6"/>
      <c r="AH11" s="29"/>
      <c r="AI11" s="6"/>
      <c r="AK11" s="43"/>
      <c r="AL11" s="43"/>
      <c r="AM11" s="43"/>
      <c r="AN11" s="43"/>
      <c r="AO11" s="43"/>
      <c r="AP11" s="43"/>
      <c r="AQ11" s="43"/>
      <c r="AR11" s="43"/>
    </row>
    <row r="12" spans="1:44" ht="13.5" thickBot="1">
      <c r="A12" s="2" t="s">
        <v>20</v>
      </c>
      <c r="B12" s="8">
        <f t="shared" si="2"/>
        <v>51.25</v>
      </c>
      <c r="C12" s="65"/>
      <c r="D12" s="65"/>
      <c r="E12" s="65"/>
      <c r="F12" s="65"/>
      <c r="G12" s="65"/>
      <c r="H12" s="6"/>
      <c r="I12" s="6"/>
      <c r="J12" s="29"/>
      <c r="K12" s="65"/>
      <c r="L12" s="65"/>
      <c r="M12" s="29"/>
      <c r="N12" s="65"/>
      <c r="O12" s="6"/>
      <c r="P12" s="65">
        <v>51.25</v>
      </c>
      <c r="Q12" s="65"/>
      <c r="R12" s="65"/>
      <c r="S12" s="65"/>
      <c r="T12" s="65"/>
      <c r="U12" s="6"/>
      <c r="V12" s="29"/>
      <c r="W12" s="6"/>
      <c r="X12" s="6"/>
      <c r="Y12" s="36"/>
      <c r="Z12" s="6"/>
      <c r="AA12" s="6"/>
      <c r="AB12" s="6"/>
      <c r="AC12" s="6"/>
      <c r="AD12" s="6"/>
      <c r="AE12" s="6"/>
      <c r="AF12" s="6"/>
      <c r="AG12" s="6"/>
      <c r="AH12" s="29"/>
      <c r="AI12" s="6"/>
      <c r="AK12" s="43"/>
      <c r="AL12" s="43"/>
      <c r="AM12" s="43"/>
      <c r="AN12" s="43"/>
      <c r="AO12" s="43"/>
      <c r="AP12" s="43"/>
      <c r="AQ12" s="43"/>
      <c r="AR12" s="43"/>
    </row>
    <row r="13" spans="1:44" ht="13.5" thickBot="1">
      <c r="A13" s="2" t="s">
        <v>21</v>
      </c>
      <c r="B13" s="8">
        <f t="shared" si="2"/>
        <v>0</v>
      </c>
      <c r="C13" s="65"/>
      <c r="D13" s="65"/>
      <c r="E13" s="65"/>
      <c r="F13" s="65"/>
      <c r="G13" s="65"/>
      <c r="H13" s="6"/>
      <c r="I13" s="6"/>
      <c r="J13" s="29"/>
      <c r="K13" s="65"/>
      <c r="L13" s="65"/>
      <c r="M13" s="29"/>
      <c r="N13" s="65"/>
      <c r="O13" s="6"/>
      <c r="P13" s="65"/>
      <c r="Q13" s="65"/>
      <c r="R13" s="65"/>
      <c r="S13" s="65"/>
      <c r="T13" s="65"/>
      <c r="U13" s="6"/>
      <c r="V13" s="29"/>
      <c r="W13" s="6"/>
      <c r="X13" s="6"/>
      <c r="Y13" s="36"/>
      <c r="Z13" s="6"/>
      <c r="AA13" s="6"/>
      <c r="AB13" s="6"/>
      <c r="AC13" s="6"/>
      <c r="AD13" s="6"/>
      <c r="AE13" s="6"/>
      <c r="AF13" s="6"/>
      <c r="AG13" s="6"/>
      <c r="AH13" s="29"/>
      <c r="AI13" s="6"/>
      <c r="AK13" s="43"/>
      <c r="AL13" s="43"/>
      <c r="AM13" s="43"/>
      <c r="AN13" s="43"/>
      <c r="AO13" s="43"/>
      <c r="AP13" s="43"/>
      <c r="AQ13" s="43"/>
      <c r="AR13" s="43"/>
    </row>
    <row r="14" spans="1:44" ht="13.5" thickBot="1">
      <c r="A14" s="2" t="s">
        <v>22</v>
      </c>
      <c r="B14" s="8">
        <f t="shared" si="2"/>
        <v>0</v>
      </c>
      <c r="C14" s="65"/>
      <c r="D14" s="65"/>
      <c r="E14" s="65"/>
      <c r="F14" s="65"/>
      <c r="G14" s="65"/>
      <c r="H14" s="6"/>
      <c r="I14" s="6"/>
      <c r="J14" s="29"/>
      <c r="K14" s="65"/>
      <c r="L14" s="65"/>
      <c r="M14" s="29"/>
      <c r="N14" s="65"/>
      <c r="O14" s="6"/>
      <c r="P14" s="65"/>
      <c r="Q14" s="65"/>
      <c r="R14" s="65"/>
      <c r="S14" s="65"/>
      <c r="T14" s="65"/>
      <c r="U14" s="6"/>
      <c r="V14" s="29"/>
      <c r="W14" s="6"/>
      <c r="X14" s="6"/>
      <c r="Y14" s="36"/>
      <c r="Z14" s="6"/>
      <c r="AA14" s="6"/>
      <c r="AB14" s="6"/>
      <c r="AC14" s="6"/>
      <c r="AD14" s="6"/>
      <c r="AE14" s="6"/>
      <c r="AF14" s="6"/>
      <c r="AG14" s="6"/>
      <c r="AH14" s="29"/>
      <c r="AI14" s="6"/>
      <c r="AK14" s="43"/>
      <c r="AL14" s="43"/>
      <c r="AM14" s="43"/>
      <c r="AN14" s="43"/>
      <c r="AO14" s="43"/>
      <c r="AP14" s="43"/>
      <c r="AQ14" s="43"/>
      <c r="AR14" s="43"/>
    </row>
    <row r="15" spans="1:44" ht="13.5" thickBot="1">
      <c r="A15" s="2" t="s">
        <v>23</v>
      </c>
      <c r="B15" s="8">
        <f t="shared" si="2"/>
        <v>10.6</v>
      </c>
      <c r="C15" s="65">
        <v>1.2</v>
      </c>
      <c r="D15" s="65"/>
      <c r="E15" s="65"/>
      <c r="F15" s="65"/>
      <c r="G15" s="65"/>
      <c r="H15" s="6"/>
      <c r="I15" s="6"/>
      <c r="J15" s="29"/>
      <c r="K15" s="65"/>
      <c r="L15" s="65"/>
      <c r="M15" s="29"/>
      <c r="N15" s="65"/>
      <c r="O15" s="6">
        <v>2.4</v>
      </c>
      <c r="P15" s="65">
        <v>2</v>
      </c>
      <c r="Q15" s="65">
        <v>5</v>
      </c>
      <c r="R15" s="65"/>
      <c r="S15" s="65"/>
      <c r="T15" s="65"/>
      <c r="U15" s="6"/>
      <c r="V15" s="29"/>
      <c r="W15" s="6"/>
      <c r="X15" s="6"/>
      <c r="Y15" s="36"/>
      <c r="Z15" s="6"/>
      <c r="AA15" s="6"/>
      <c r="AB15" s="6"/>
      <c r="AC15" s="6"/>
      <c r="AD15" s="6"/>
      <c r="AE15" s="6"/>
      <c r="AF15" s="6"/>
      <c r="AG15" s="6"/>
      <c r="AH15" s="29"/>
      <c r="AI15" s="6"/>
      <c r="AK15" s="43"/>
      <c r="AL15" s="43"/>
      <c r="AM15" s="43"/>
      <c r="AN15" s="43"/>
      <c r="AO15" s="43"/>
      <c r="AP15" s="43"/>
      <c r="AQ15" s="43"/>
      <c r="AR15" s="43"/>
    </row>
    <row r="16" spans="1:44" ht="13.5" thickBot="1">
      <c r="A16" s="2" t="s">
        <v>24</v>
      </c>
      <c r="B16" s="8">
        <f t="shared" si="2"/>
        <v>9</v>
      </c>
      <c r="C16" s="65"/>
      <c r="D16" s="65"/>
      <c r="E16" s="65"/>
      <c r="F16" s="65"/>
      <c r="G16" s="65"/>
      <c r="H16" s="6"/>
      <c r="I16" s="6"/>
      <c r="J16" s="29"/>
      <c r="K16" s="65"/>
      <c r="L16" s="65"/>
      <c r="M16" s="29"/>
      <c r="N16" s="65">
        <v>9</v>
      </c>
      <c r="O16" s="6"/>
      <c r="P16" s="65"/>
      <c r="Q16" s="65"/>
      <c r="R16" s="65"/>
      <c r="S16" s="65"/>
      <c r="T16" s="65"/>
      <c r="U16" s="6"/>
      <c r="V16" s="29"/>
      <c r="W16" s="6"/>
      <c r="X16" s="6"/>
      <c r="Y16" s="36"/>
      <c r="Z16" s="6"/>
      <c r="AA16" s="6"/>
      <c r="AB16" s="6"/>
      <c r="AC16" s="6"/>
      <c r="AD16" s="6"/>
      <c r="AE16" s="6"/>
      <c r="AF16" s="6"/>
      <c r="AG16" s="6"/>
      <c r="AH16" s="29"/>
      <c r="AI16" s="6"/>
      <c r="AK16" s="43"/>
      <c r="AL16" s="43"/>
      <c r="AM16" s="43"/>
      <c r="AN16" s="43"/>
      <c r="AO16" s="43"/>
      <c r="AP16" s="43"/>
      <c r="AQ16" s="43"/>
      <c r="AR16" s="43"/>
    </row>
    <row r="17" spans="1:44" ht="13.5" thickBot="1">
      <c r="A17" s="2" t="s">
        <v>54</v>
      </c>
      <c r="B17" s="8">
        <f t="shared" si="2"/>
        <v>99</v>
      </c>
      <c r="C17" s="65">
        <v>75</v>
      </c>
      <c r="D17" s="65"/>
      <c r="E17" s="65"/>
      <c r="F17" s="65"/>
      <c r="G17" s="65"/>
      <c r="H17" s="6"/>
      <c r="I17" s="6"/>
      <c r="J17" s="29"/>
      <c r="K17" s="65"/>
      <c r="L17" s="65"/>
      <c r="M17" s="29"/>
      <c r="N17" s="65"/>
      <c r="O17" s="6"/>
      <c r="P17" s="65"/>
      <c r="Q17" s="65">
        <v>24</v>
      </c>
      <c r="R17" s="65"/>
      <c r="S17" s="65"/>
      <c r="T17" s="65"/>
      <c r="U17" s="6"/>
      <c r="V17" s="29"/>
      <c r="W17" s="6"/>
      <c r="X17" s="6"/>
      <c r="Y17" s="36"/>
      <c r="Z17" s="6"/>
      <c r="AA17" s="6"/>
      <c r="AB17" s="6"/>
      <c r="AC17" s="6"/>
      <c r="AD17" s="6"/>
      <c r="AE17" s="6"/>
      <c r="AF17" s="6"/>
      <c r="AG17" s="6"/>
      <c r="AH17" s="29"/>
      <c r="AI17" s="6"/>
      <c r="AK17" s="43"/>
      <c r="AL17" s="43"/>
      <c r="AM17" s="43"/>
      <c r="AN17" s="43"/>
      <c r="AO17" s="43"/>
      <c r="AP17" s="43"/>
      <c r="AQ17" s="43"/>
      <c r="AR17" s="43"/>
    </row>
    <row r="18" spans="1:44" ht="13.5" thickBot="1">
      <c r="A18" s="2" t="s">
        <v>25</v>
      </c>
      <c r="B18" s="8">
        <f t="shared" si="2"/>
        <v>0</v>
      </c>
      <c r="C18" s="65"/>
      <c r="D18" s="65"/>
      <c r="E18" s="65"/>
      <c r="F18" s="65"/>
      <c r="G18" s="65"/>
      <c r="H18" s="6"/>
      <c r="I18" s="6"/>
      <c r="J18" s="29"/>
      <c r="K18" s="65"/>
      <c r="L18" s="65"/>
      <c r="M18" s="29"/>
      <c r="N18" s="65"/>
      <c r="O18" s="6"/>
      <c r="P18" s="65"/>
      <c r="Q18" s="65"/>
      <c r="R18" s="65"/>
      <c r="S18" s="65"/>
      <c r="T18" s="65"/>
      <c r="U18" s="6"/>
      <c r="V18" s="29"/>
      <c r="W18" s="6"/>
      <c r="X18" s="6"/>
      <c r="Y18" s="36"/>
      <c r="Z18" s="6"/>
      <c r="AA18" s="6"/>
      <c r="AB18" s="6"/>
      <c r="AC18" s="6"/>
      <c r="AD18" s="6"/>
      <c r="AE18" s="6"/>
      <c r="AF18" s="6"/>
      <c r="AG18" s="6"/>
      <c r="AH18" s="29"/>
      <c r="AI18" s="6"/>
      <c r="AK18" s="43"/>
      <c r="AL18" s="43"/>
      <c r="AM18" s="43"/>
      <c r="AN18" s="43"/>
      <c r="AO18" s="43"/>
      <c r="AP18" s="43"/>
      <c r="AQ18" s="43"/>
      <c r="AR18" s="43"/>
    </row>
    <row r="19" spans="1:44" ht="13.5" thickBot="1">
      <c r="A19" s="2" t="s">
        <v>26</v>
      </c>
      <c r="B19" s="8">
        <f t="shared" si="2"/>
        <v>0</v>
      </c>
      <c r="C19" s="65"/>
      <c r="D19" s="65"/>
      <c r="E19" s="65"/>
      <c r="F19" s="65"/>
      <c r="G19" s="65"/>
      <c r="H19" s="6"/>
      <c r="I19" s="6"/>
      <c r="J19" s="29"/>
      <c r="K19" s="65"/>
      <c r="L19" s="65"/>
      <c r="M19" s="29"/>
      <c r="N19" s="65"/>
      <c r="O19" s="6"/>
      <c r="P19" s="65"/>
      <c r="Q19" s="65"/>
      <c r="R19" s="65"/>
      <c r="S19" s="65"/>
      <c r="T19" s="65"/>
      <c r="U19" s="6"/>
      <c r="V19" s="29"/>
      <c r="W19" s="6"/>
      <c r="X19" s="6"/>
      <c r="Y19" s="36"/>
      <c r="Z19" s="6"/>
      <c r="AA19" s="6"/>
      <c r="AB19" s="6"/>
      <c r="AC19" s="6"/>
      <c r="AD19" s="6"/>
      <c r="AE19" s="6"/>
      <c r="AF19" s="6"/>
      <c r="AG19" s="6"/>
      <c r="AH19" s="29"/>
      <c r="AI19" s="6"/>
      <c r="AK19" s="43"/>
      <c r="AL19" s="43"/>
      <c r="AM19" s="43"/>
      <c r="AN19" s="43"/>
      <c r="AO19" s="43"/>
      <c r="AP19" s="43"/>
      <c r="AQ19" s="43"/>
      <c r="AR19" s="43"/>
    </row>
    <row r="20" spans="1:44" ht="13.5" thickBot="1">
      <c r="A20" s="2" t="s">
        <v>27</v>
      </c>
      <c r="B20" s="8">
        <f t="shared" si="2"/>
        <v>0</v>
      </c>
      <c r="C20" s="65"/>
      <c r="D20" s="65"/>
      <c r="E20" s="65"/>
      <c r="F20" s="65"/>
      <c r="G20" s="65"/>
      <c r="H20" s="6"/>
      <c r="I20" s="6"/>
      <c r="J20" s="29"/>
      <c r="K20" s="65"/>
      <c r="L20" s="65"/>
      <c r="M20" s="29"/>
      <c r="N20" s="65"/>
      <c r="O20" s="6"/>
      <c r="P20" s="65"/>
      <c r="Q20" s="65"/>
      <c r="R20" s="65"/>
      <c r="S20" s="65"/>
      <c r="T20" s="65"/>
      <c r="U20" s="6"/>
      <c r="V20" s="29"/>
      <c r="W20" s="6"/>
      <c r="X20" s="6"/>
      <c r="Y20" s="36"/>
      <c r="Z20" s="6"/>
      <c r="AA20" s="6"/>
      <c r="AB20" s="6"/>
      <c r="AC20" s="6"/>
      <c r="AD20" s="6"/>
      <c r="AE20" s="6"/>
      <c r="AF20" s="6"/>
      <c r="AG20" s="6"/>
      <c r="AH20" s="29"/>
      <c r="AI20" s="6"/>
      <c r="AK20" s="43"/>
      <c r="AL20" s="43"/>
      <c r="AM20" s="43"/>
      <c r="AN20" s="43"/>
      <c r="AO20" s="43"/>
      <c r="AP20" s="43"/>
      <c r="AQ20" s="43"/>
      <c r="AR20" s="43"/>
    </row>
    <row r="21" spans="1:44" ht="13.5" thickBot="1">
      <c r="A21" s="2" t="s">
        <v>14</v>
      </c>
      <c r="B21" s="8">
        <f>C21+D21+E21+F21+G21+H21+I21+J21+K21+L21+M21+N21+O21+P21+Q21+R21+S21+T21+U21+V21+W21+X21+Y21+Z21+AA21+AB21+AC21+AD21+AE21+AF21+AG21+AH21+AI21</f>
        <v>0</v>
      </c>
      <c r="C21" s="65"/>
      <c r="D21" s="65"/>
      <c r="E21" s="65"/>
      <c r="F21" s="65"/>
      <c r="G21" s="65"/>
      <c r="H21" s="6"/>
      <c r="I21" s="6"/>
      <c r="J21" s="29"/>
      <c r="K21" s="65"/>
      <c r="L21" s="65"/>
      <c r="M21" s="29"/>
      <c r="N21" s="65"/>
      <c r="O21" s="6"/>
      <c r="P21" s="65"/>
      <c r="Q21" s="65"/>
      <c r="R21" s="65"/>
      <c r="S21" s="65"/>
      <c r="T21" s="65"/>
      <c r="U21" s="6"/>
      <c r="V21" s="29"/>
      <c r="W21" s="6"/>
      <c r="X21" s="6"/>
      <c r="Y21" s="36"/>
      <c r="Z21" s="6"/>
      <c r="AA21" s="6"/>
      <c r="AB21" s="6"/>
      <c r="AC21" s="6"/>
      <c r="AD21" s="6"/>
      <c r="AE21" s="6"/>
      <c r="AF21" s="6"/>
      <c r="AG21" s="6"/>
      <c r="AH21" s="29"/>
      <c r="AI21" s="6"/>
      <c r="AK21" s="43"/>
      <c r="AL21" s="43"/>
      <c r="AM21" s="43"/>
      <c r="AN21" s="43"/>
      <c r="AO21" s="43"/>
      <c r="AP21" s="43"/>
      <c r="AQ21" s="43"/>
      <c r="AR21" s="43"/>
    </row>
    <row r="22" spans="1:44" ht="13.5" thickBot="1">
      <c r="A22" s="2" t="s">
        <v>28</v>
      </c>
      <c r="B22" s="8">
        <f t="shared" ref="B22:B50" si="3">C22+D22+E22+F22+G22+H22+I22+J22+K22+L22+M22+N22+O22+P22+Q22+R22+S22+T22+U22+V22+W22+X22+Y22+Z22+AA22+AB22+AC22+AD22+AE22+AG22+AH22+AI22</f>
        <v>0</v>
      </c>
      <c r="C22" s="65"/>
      <c r="D22" s="65"/>
      <c r="E22" s="65"/>
      <c r="F22" s="65"/>
      <c r="G22" s="65"/>
      <c r="H22" s="6"/>
      <c r="I22" s="6"/>
      <c r="J22" s="29"/>
      <c r="K22" s="65"/>
      <c r="L22" s="65"/>
      <c r="M22" s="29"/>
      <c r="N22" s="65"/>
      <c r="O22" s="6"/>
      <c r="P22" s="65"/>
      <c r="Q22" s="65"/>
      <c r="R22" s="65"/>
      <c r="S22" s="65"/>
      <c r="T22" s="65"/>
      <c r="U22" s="6"/>
      <c r="V22" s="29"/>
      <c r="W22" s="6"/>
      <c r="X22" s="6"/>
      <c r="Y22" s="36"/>
      <c r="Z22" s="6"/>
      <c r="AA22" s="6"/>
      <c r="AB22" s="6"/>
      <c r="AC22" s="6"/>
      <c r="AD22" s="6"/>
      <c r="AE22" s="6"/>
      <c r="AF22" s="6"/>
      <c r="AG22" s="6"/>
      <c r="AH22" s="29"/>
      <c r="AI22" s="6"/>
      <c r="AK22" s="43"/>
      <c r="AL22" s="43"/>
      <c r="AM22" s="43"/>
      <c r="AN22" s="43"/>
      <c r="AO22" s="43"/>
      <c r="AP22" s="43"/>
      <c r="AQ22" s="43"/>
      <c r="AR22" s="43"/>
    </row>
    <row r="23" spans="1:44" ht="13.5" thickBot="1">
      <c r="A23" s="2" t="s">
        <v>29</v>
      </c>
      <c r="B23" s="8">
        <f t="shared" si="3"/>
        <v>24</v>
      </c>
      <c r="C23" s="65"/>
      <c r="D23" s="65"/>
      <c r="E23" s="65"/>
      <c r="F23" s="65">
        <v>24</v>
      </c>
      <c r="G23" s="65"/>
      <c r="H23" s="6"/>
      <c r="I23" s="6"/>
      <c r="J23" s="29"/>
      <c r="K23" s="65"/>
      <c r="L23" s="65"/>
      <c r="M23" s="29"/>
      <c r="N23" s="65"/>
      <c r="O23" s="6"/>
      <c r="P23" s="65"/>
      <c r="Q23" s="65"/>
      <c r="R23" s="65"/>
      <c r="S23" s="65"/>
      <c r="T23" s="65"/>
      <c r="U23" s="6"/>
      <c r="V23" s="29"/>
      <c r="W23" s="6"/>
      <c r="X23" s="6"/>
      <c r="Y23" s="36"/>
      <c r="Z23" s="6"/>
      <c r="AA23" s="6"/>
      <c r="AB23" s="6"/>
      <c r="AC23" s="6"/>
      <c r="AD23" s="6"/>
      <c r="AE23" s="6"/>
      <c r="AF23" s="6"/>
      <c r="AG23" s="6"/>
      <c r="AH23" s="29"/>
      <c r="AI23" s="6"/>
      <c r="AK23" s="43"/>
      <c r="AL23" s="43"/>
      <c r="AM23" s="43"/>
      <c r="AN23" s="43"/>
      <c r="AO23" s="43"/>
      <c r="AP23" s="43"/>
      <c r="AQ23" s="43"/>
      <c r="AR23" s="43"/>
    </row>
    <row r="24" spans="1:44" ht="13.5" thickBot="1">
      <c r="A24" s="2" t="s">
        <v>30</v>
      </c>
      <c r="B24" s="8">
        <f t="shared" si="3"/>
        <v>0</v>
      </c>
      <c r="C24" s="65"/>
      <c r="D24" s="65"/>
      <c r="E24" s="65"/>
      <c r="F24" s="65"/>
      <c r="G24" s="65"/>
      <c r="H24" s="6"/>
      <c r="I24" s="6"/>
      <c r="J24" s="29"/>
      <c r="K24" s="65"/>
      <c r="L24" s="65"/>
      <c r="M24" s="29"/>
      <c r="N24" s="65"/>
      <c r="O24" s="6"/>
      <c r="P24" s="65"/>
      <c r="Q24" s="65"/>
      <c r="R24" s="65"/>
      <c r="S24" s="65"/>
      <c r="T24" s="65"/>
      <c r="U24" s="6"/>
      <c r="V24" s="29"/>
      <c r="W24" s="6"/>
      <c r="X24" s="6"/>
      <c r="Y24" s="36"/>
      <c r="Z24" s="6"/>
      <c r="AA24" s="6"/>
      <c r="AB24" s="6"/>
      <c r="AC24" s="6"/>
      <c r="AD24" s="6"/>
      <c r="AE24" s="6"/>
      <c r="AF24" s="6"/>
      <c r="AG24" s="6"/>
      <c r="AH24" s="29"/>
      <c r="AI24" s="6"/>
      <c r="AK24" s="43"/>
      <c r="AL24" s="43"/>
      <c r="AM24" s="43"/>
      <c r="AN24" s="43"/>
      <c r="AO24" s="43"/>
      <c r="AP24" s="43"/>
      <c r="AQ24" s="43"/>
      <c r="AR24" s="43"/>
    </row>
    <row r="25" spans="1:44" ht="13.5" thickBot="1">
      <c r="A25" s="2" t="s">
        <v>31</v>
      </c>
      <c r="B25" s="8">
        <f t="shared" si="3"/>
        <v>0</v>
      </c>
      <c r="C25" s="65"/>
      <c r="D25" s="65"/>
      <c r="E25" s="65"/>
      <c r="F25" s="65"/>
      <c r="G25" s="65"/>
      <c r="H25" s="6"/>
      <c r="I25" s="6"/>
      <c r="J25" s="29"/>
      <c r="K25" s="65"/>
      <c r="L25" s="65"/>
      <c r="M25" s="29"/>
      <c r="N25" s="65"/>
      <c r="O25" s="6"/>
      <c r="P25" s="65"/>
      <c r="Q25" s="65"/>
      <c r="R25" s="65"/>
      <c r="S25" s="65"/>
      <c r="T25" s="65"/>
      <c r="U25" s="6"/>
      <c r="V25" s="29"/>
      <c r="W25" s="6"/>
      <c r="X25" s="6"/>
      <c r="Y25" s="36"/>
      <c r="Z25" s="6"/>
      <c r="AA25" s="6"/>
      <c r="AB25" s="6"/>
      <c r="AC25" s="6"/>
      <c r="AD25" s="6"/>
      <c r="AE25" s="6"/>
      <c r="AF25" s="6"/>
      <c r="AG25" s="6"/>
      <c r="AH25" s="29"/>
      <c r="AI25" s="6"/>
      <c r="AK25" s="43"/>
      <c r="AL25" s="43"/>
      <c r="AM25" s="43"/>
      <c r="AN25" s="43"/>
      <c r="AO25" s="43"/>
      <c r="AP25" s="43"/>
      <c r="AQ25" s="43"/>
      <c r="AR25" s="43"/>
    </row>
    <row r="26" spans="1:44" ht="13.5" thickBot="1">
      <c r="A26" s="2" t="s">
        <v>32</v>
      </c>
      <c r="B26" s="8">
        <f t="shared" si="3"/>
        <v>0</v>
      </c>
      <c r="C26" s="65"/>
      <c r="D26" s="65"/>
      <c r="E26" s="65"/>
      <c r="F26" s="65"/>
      <c r="G26" s="65"/>
      <c r="H26" s="6"/>
      <c r="I26" s="6"/>
      <c r="J26" s="29"/>
      <c r="K26" s="65"/>
      <c r="L26" s="65"/>
      <c r="M26" s="29"/>
      <c r="N26" s="65"/>
      <c r="O26" s="6"/>
      <c r="P26" s="65"/>
      <c r="Q26" s="65"/>
      <c r="R26" s="65"/>
      <c r="S26" s="65"/>
      <c r="T26" s="65"/>
      <c r="U26" s="6"/>
      <c r="V26" s="29"/>
      <c r="W26" s="6"/>
      <c r="X26" s="6"/>
      <c r="Y26" s="36"/>
      <c r="Z26" s="6"/>
      <c r="AA26" s="6"/>
      <c r="AB26" s="6"/>
      <c r="AC26" s="6"/>
      <c r="AD26" s="6"/>
      <c r="AE26" s="6"/>
      <c r="AF26" s="6"/>
      <c r="AG26" s="6"/>
      <c r="AH26" s="29"/>
      <c r="AI26" s="6"/>
      <c r="AK26" s="43"/>
      <c r="AL26" s="43"/>
      <c r="AM26" s="43"/>
      <c r="AN26" s="43"/>
      <c r="AO26" s="43"/>
      <c r="AP26" s="43"/>
      <c r="AQ26" s="43"/>
      <c r="AR26" s="43"/>
    </row>
    <row r="27" spans="1:44" ht="13.5" thickBot="1">
      <c r="A27" s="2" t="s">
        <v>33</v>
      </c>
      <c r="B27" s="8">
        <f t="shared" si="3"/>
        <v>0</v>
      </c>
      <c r="C27" s="65"/>
      <c r="D27" s="65"/>
      <c r="E27" s="65"/>
      <c r="F27" s="65"/>
      <c r="G27" s="65"/>
      <c r="H27" s="6"/>
      <c r="I27" s="6"/>
      <c r="J27" s="29"/>
      <c r="K27" s="65"/>
      <c r="L27" s="65"/>
      <c r="M27" s="29"/>
      <c r="N27" s="65"/>
      <c r="O27" s="6"/>
      <c r="P27" s="65"/>
      <c r="Q27" s="65"/>
      <c r="R27" s="65"/>
      <c r="S27" s="65"/>
      <c r="T27" s="65"/>
      <c r="U27" s="6"/>
      <c r="V27" s="29"/>
      <c r="W27" s="6"/>
      <c r="X27" s="6"/>
      <c r="Y27" s="36"/>
      <c r="Z27" s="6"/>
      <c r="AA27" s="6"/>
      <c r="AB27" s="6"/>
      <c r="AC27" s="6"/>
      <c r="AD27" s="6"/>
      <c r="AE27" s="6"/>
      <c r="AF27" s="6"/>
      <c r="AG27" s="6"/>
      <c r="AH27" s="29"/>
      <c r="AI27" s="6"/>
      <c r="AK27" s="43"/>
      <c r="AL27" s="43"/>
      <c r="AM27" s="43"/>
      <c r="AN27" s="43"/>
      <c r="AO27" s="43"/>
      <c r="AP27" s="43"/>
      <c r="AQ27" s="43"/>
      <c r="AR27" s="43"/>
    </row>
    <row r="28" spans="1:44" ht="13.5" thickBot="1">
      <c r="A28" s="2" t="s">
        <v>34</v>
      </c>
      <c r="B28" s="8">
        <f t="shared" si="3"/>
        <v>9</v>
      </c>
      <c r="C28" s="65">
        <v>9</v>
      </c>
      <c r="D28" s="65"/>
      <c r="E28" s="65"/>
      <c r="F28" s="65"/>
      <c r="G28" s="65"/>
      <c r="H28" s="6"/>
      <c r="I28" s="6"/>
      <c r="J28" s="29"/>
      <c r="K28" s="65"/>
      <c r="L28" s="65"/>
      <c r="M28" s="29"/>
      <c r="N28" s="65"/>
      <c r="O28" s="6"/>
      <c r="P28" s="65"/>
      <c r="Q28" s="65"/>
      <c r="R28" s="65"/>
      <c r="S28" s="65"/>
      <c r="T28" s="65"/>
      <c r="U28" s="6"/>
      <c r="V28" s="29"/>
      <c r="W28" s="6"/>
      <c r="X28" s="6"/>
      <c r="Y28" s="36"/>
      <c r="Z28" s="6"/>
      <c r="AA28" s="6"/>
      <c r="AB28" s="6"/>
      <c r="AC28" s="6"/>
      <c r="AD28" s="6"/>
      <c r="AE28" s="6"/>
      <c r="AF28" s="6"/>
      <c r="AG28" s="6"/>
      <c r="AH28" s="29"/>
      <c r="AI28" s="6"/>
      <c r="AK28" s="43"/>
      <c r="AL28" s="43"/>
      <c r="AM28" s="43"/>
      <c r="AN28" s="43"/>
      <c r="AO28" s="43"/>
      <c r="AP28" s="43"/>
      <c r="AQ28" s="43"/>
      <c r="AR28" s="43"/>
    </row>
    <row r="29" spans="1:44" ht="13.5" thickBot="1">
      <c r="A29" s="2" t="s">
        <v>35</v>
      </c>
      <c r="B29" s="8">
        <f t="shared" si="3"/>
        <v>0</v>
      </c>
      <c r="C29" s="65"/>
      <c r="D29" s="65"/>
      <c r="E29" s="65"/>
      <c r="F29" s="65"/>
      <c r="G29" s="65"/>
      <c r="H29" s="6"/>
      <c r="I29" s="6"/>
      <c r="J29" s="29"/>
      <c r="K29" s="65"/>
      <c r="L29" s="65"/>
      <c r="M29" s="29"/>
      <c r="N29" s="65"/>
      <c r="O29" s="6"/>
      <c r="P29" s="65"/>
      <c r="Q29" s="65"/>
      <c r="R29" s="65"/>
      <c r="S29" s="65"/>
      <c r="T29" s="65"/>
      <c r="U29" s="6"/>
      <c r="V29" s="29"/>
      <c r="W29" s="6"/>
      <c r="X29" s="6"/>
      <c r="Y29" s="36"/>
      <c r="Z29" s="6"/>
      <c r="AA29" s="6"/>
      <c r="AB29" s="6"/>
      <c r="AC29" s="6"/>
      <c r="AD29" s="6"/>
      <c r="AE29" s="6"/>
      <c r="AF29" s="6"/>
      <c r="AG29" s="6"/>
      <c r="AH29" s="29"/>
      <c r="AI29" s="6"/>
      <c r="AK29" s="43"/>
      <c r="AL29" s="43"/>
      <c r="AM29" s="43"/>
      <c r="AN29" s="43"/>
      <c r="AO29" s="43"/>
      <c r="AP29" s="43"/>
      <c r="AQ29" s="43"/>
      <c r="AR29" s="43"/>
    </row>
    <row r="30" spans="1:44" ht="13.5" thickBot="1">
      <c r="A30" s="2" t="s">
        <v>36</v>
      </c>
      <c r="B30" s="8">
        <f t="shared" si="3"/>
        <v>10.4</v>
      </c>
      <c r="C30" s="65"/>
      <c r="D30" s="65"/>
      <c r="E30" s="65"/>
      <c r="F30" s="65"/>
      <c r="G30" s="65"/>
      <c r="H30" s="6"/>
      <c r="I30" s="6"/>
      <c r="J30" s="29"/>
      <c r="K30" s="65"/>
      <c r="L30" s="65"/>
      <c r="M30" s="29"/>
      <c r="N30" s="65"/>
      <c r="O30" s="6">
        <v>10.4</v>
      </c>
      <c r="P30" s="65"/>
      <c r="Q30" s="65"/>
      <c r="R30" s="65"/>
      <c r="S30" s="65"/>
      <c r="T30" s="65"/>
      <c r="U30" s="6"/>
      <c r="V30" s="29"/>
      <c r="W30" s="6"/>
      <c r="X30" s="6"/>
      <c r="Y30" s="36"/>
      <c r="Z30" s="6"/>
      <c r="AA30" s="6"/>
      <c r="AB30" s="6"/>
      <c r="AC30" s="6"/>
      <c r="AD30" s="6"/>
      <c r="AE30" s="6"/>
      <c r="AF30" s="6"/>
      <c r="AG30" s="6"/>
      <c r="AH30" s="29"/>
      <c r="AI30" s="6"/>
      <c r="AK30" s="43"/>
      <c r="AL30" s="43"/>
      <c r="AM30" s="43"/>
      <c r="AN30" s="43"/>
      <c r="AO30" s="43"/>
      <c r="AP30" s="43"/>
      <c r="AQ30" s="43"/>
      <c r="AR30" s="43"/>
    </row>
    <row r="31" spans="1:44" ht="13.5" thickBot="1">
      <c r="A31" s="2" t="s">
        <v>37</v>
      </c>
      <c r="B31" s="8">
        <f t="shared" si="3"/>
        <v>0</v>
      </c>
      <c r="C31" s="65"/>
      <c r="D31" s="65"/>
      <c r="E31" s="65"/>
      <c r="F31" s="65"/>
      <c r="G31" s="65"/>
      <c r="H31" s="6"/>
      <c r="I31" s="6"/>
      <c r="J31" s="29"/>
      <c r="K31" s="65"/>
      <c r="L31" s="65"/>
      <c r="M31" s="29"/>
      <c r="N31" s="65"/>
      <c r="O31" s="6"/>
      <c r="P31" s="65"/>
      <c r="Q31" s="65"/>
      <c r="R31" s="65"/>
      <c r="S31" s="65"/>
      <c r="T31" s="65"/>
      <c r="U31" s="6"/>
      <c r="V31" s="29"/>
      <c r="W31" s="6"/>
      <c r="X31" s="6"/>
      <c r="Y31" s="36"/>
      <c r="Z31" s="6"/>
      <c r="AA31" s="6"/>
      <c r="AB31" s="6"/>
      <c r="AC31" s="6"/>
      <c r="AD31" s="6"/>
      <c r="AE31" s="6"/>
      <c r="AF31" s="6"/>
      <c r="AG31" s="6"/>
      <c r="AH31" s="29"/>
      <c r="AI31" s="6"/>
      <c r="AK31" s="43"/>
      <c r="AL31" s="43"/>
      <c r="AM31" s="43"/>
      <c r="AN31" s="43"/>
      <c r="AO31" s="43"/>
      <c r="AP31" s="43"/>
      <c r="AQ31" s="43"/>
      <c r="AR31" s="43"/>
    </row>
    <row r="32" spans="1:44" ht="13.5" thickBot="1">
      <c r="A32" s="2" t="s">
        <v>38</v>
      </c>
      <c r="B32" s="8">
        <f t="shared" si="3"/>
        <v>14.8</v>
      </c>
      <c r="C32" s="65">
        <v>1.8</v>
      </c>
      <c r="D32" s="65"/>
      <c r="E32" s="65"/>
      <c r="F32" s="65">
        <v>10</v>
      </c>
      <c r="G32" s="65"/>
      <c r="H32" s="6"/>
      <c r="I32" s="6"/>
      <c r="J32" s="29"/>
      <c r="K32" s="65"/>
      <c r="L32" s="65"/>
      <c r="M32" s="29"/>
      <c r="N32" s="65">
        <v>3</v>
      </c>
      <c r="O32" s="6"/>
      <c r="P32" s="65"/>
      <c r="Q32" s="65"/>
      <c r="R32" s="65"/>
      <c r="S32" s="65"/>
      <c r="T32" s="65"/>
      <c r="U32" s="6"/>
      <c r="V32" s="29"/>
      <c r="W32" s="6"/>
      <c r="X32" s="6"/>
      <c r="Y32" s="36"/>
      <c r="Z32" s="6"/>
      <c r="AA32" s="6"/>
      <c r="AB32" s="6"/>
      <c r="AC32" s="6"/>
      <c r="AD32" s="6"/>
      <c r="AE32" s="6"/>
      <c r="AF32" s="6"/>
      <c r="AG32" s="6"/>
      <c r="AH32" s="29"/>
      <c r="AI32" s="6"/>
      <c r="AK32" s="43"/>
      <c r="AL32" s="43"/>
      <c r="AM32" s="43"/>
      <c r="AN32" s="43"/>
      <c r="AO32" s="43"/>
      <c r="AP32" s="43"/>
      <c r="AQ32" s="43"/>
      <c r="AR32" s="43"/>
    </row>
    <row r="33" spans="1:44" ht="13.5" thickBot="1">
      <c r="A33" s="2" t="s">
        <v>39</v>
      </c>
      <c r="B33" s="8">
        <f t="shared" si="3"/>
        <v>0</v>
      </c>
      <c r="C33" s="65"/>
      <c r="D33" s="65"/>
      <c r="E33" s="65"/>
      <c r="F33" s="65"/>
      <c r="G33" s="65"/>
      <c r="H33" s="6"/>
      <c r="I33" s="6"/>
      <c r="J33" s="29"/>
      <c r="K33" s="65"/>
      <c r="L33" s="65"/>
      <c r="M33" s="29"/>
      <c r="N33" s="65"/>
      <c r="O33" s="6"/>
      <c r="P33" s="65"/>
      <c r="Q33" s="65"/>
      <c r="R33" s="65"/>
      <c r="S33" s="65"/>
      <c r="T33" s="65"/>
      <c r="U33" s="6"/>
      <c r="V33" s="29"/>
      <c r="W33" s="6"/>
      <c r="X33" s="6"/>
      <c r="Y33" s="36"/>
      <c r="Z33" s="6"/>
      <c r="AA33" s="6"/>
      <c r="AB33" s="6"/>
      <c r="AC33" s="6"/>
      <c r="AD33" s="6"/>
      <c r="AE33" s="6"/>
      <c r="AF33" s="6"/>
      <c r="AG33" s="6"/>
      <c r="AH33" s="29"/>
      <c r="AI33" s="6"/>
      <c r="AK33" s="43"/>
      <c r="AL33" s="43"/>
      <c r="AM33" s="43"/>
      <c r="AN33" s="43"/>
      <c r="AO33" s="43"/>
      <c r="AP33" s="43"/>
      <c r="AQ33" s="43"/>
      <c r="AR33" s="43"/>
    </row>
    <row r="34" spans="1:44" ht="13.5" thickBot="1">
      <c r="A34" s="2" t="s">
        <v>40</v>
      </c>
      <c r="B34" s="8">
        <f t="shared" si="3"/>
        <v>10</v>
      </c>
      <c r="C34" s="65"/>
      <c r="D34" s="65"/>
      <c r="E34" s="65"/>
      <c r="F34" s="65"/>
      <c r="G34" s="65">
        <v>10</v>
      </c>
      <c r="H34" s="6"/>
      <c r="I34" s="6"/>
      <c r="J34" s="29"/>
      <c r="K34" s="65"/>
      <c r="L34" s="65"/>
      <c r="M34" s="29"/>
      <c r="N34" s="65"/>
      <c r="O34" s="6"/>
      <c r="P34" s="65"/>
      <c r="Q34" s="65"/>
      <c r="R34" s="65"/>
      <c r="S34" s="65"/>
      <c r="T34" s="65"/>
      <c r="U34" s="6"/>
      <c r="V34" s="29"/>
      <c r="W34" s="6"/>
      <c r="X34" s="6"/>
      <c r="Y34" s="36"/>
      <c r="Z34" s="6"/>
      <c r="AA34" s="6"/>
      <c r="AB34" s="6"/>
      <c r="AC34" s="6"/>
      <c r="AD34" s="6"/>
      <c r="AE34" s="6"/>
      <c r="AF34" s="6"/>
      <c r="AG34" s="6"/>
      <c r="AH34" s="29"/>
      <c r="AI34" s="6"/>
      <c r="AK34" s="43"/>
      <c r="AL34" s="43"/>
      <c r="AM34" s="43"/>
      <c r="AN34" s="43"/>
      <c r="AO34" s="43"/>
      <c r="AP34" s="43"/>
      <c r="AQ34" s="43"/>
      <c r="AR34" s="43"/>
    </row>
    <row r="35" spans="1:44" ht="13.5" thickBot="1">
      <c r="A35" s="2" t="s">
        <v>41</v>
      </c>
      <c r="B35" s="8">
        <f t="shared" si="3"/>
        <v>0</v>
      </c>
      <c r="C35" s="65"/>
      <c r="D35" s="65"/>
      <c r="E35" s="65"/>
      <c r="F35" s="65"/>
      <c r="G35" s="65"/>
      <c r="H35" s="6"/>
      <c r="I35" s="6"/>
      <c r="J35" s="29"/>
      <c r="K35" s="65"/>
      <c r="L35" s="65"/>
      <c r="M35" s="29"/>
      <c r="N35" s="65"/>
      <c r="O35" s="6"/>
      <c r="P35" s="65"/>
      <c r="Q35" s="65"/>
      <c r="R35" s="65"/>
      <c r="S35" s="65"/>
      <c r="T35" s="65"/>
      <c r="U35" s="6"/>
      <c r="V35" s="29"/>
      <c r="W35" s="6"/>
      <c r="X35" s="6"/>
      <c r="Y35" s="36"/>
      <c r="Z35" s="6"/>
      <c r="AA35" s="6"/>
      <c r="AB35" s="6"/>
      <c r="AC35" s="6"/>
      <c r="AD35" s="6"/>
      <c r="AE35" s="6"/>
      <c r="AF35" s="6"/>
      <c r="AG35" s="6"/>
      <c r="AH35" s="29"/>
      <c r="AI35" s="6"/>
      <c r="AK35" s="43"/>
      <c r="AL35" s="43"/>
      <c r="AM35" s="43"/>
      <c r="AN35" s="43"/>
      <c r="AO35" s="43"/>
      <c r="AP35" s="43"/>
      <c r="AQ35" s="43"/>
      <c r="AR35" s="43"/>
    </row>
    <row r="36" spans="1:44" ht="13.5" thickBot="1">
      <c r="A36" s="2" t="s">
        <v>42</v>
      </c>
      <c r="B36" s="8">
        <f t="shared" si="3"/>
        <v>6</v>
      </c>
      <c r="C36" s="65"/>
      <c r="D36" s="65"/>
      <c r="E36" s="65"/>
      <c r="F36" s="65"/>
      <c r="G36" s="65"/>
      <c r="H36" s="6"/>
      <c r="I36" s="6"/>
      <c r="J36" s="29"/>
      <c r="K36" s="65"/>
      <c r="L36" s="65"/>
      <c r="M36" s="29"/>
      <c r="N36" s="65">
        <v>6</v>
      </c>
      <c r="O36" s="6"/>
      <c r="P36" s="65"/>
      <c r="Q36" s="65"/>
      <c r="R36" s="65"/>
      <c r="S36" s="65"/>
      <c r="T36" s="65"/>
      <c r="U36" s="6"/>
      <c r="V36" s="29"/>
      <c r="W36" s="6"/>
      <c r="X36" s="6"/>
      <c r="Y36" s="36"/>
      <c r="Z36" s="6"/>
      <c r="AA36" s="6"/>
      <c r="AB36" s="6"/>
      <c r="AC36" s="6"/>
      <c r="AD36" s="6"/>
      <c r="AE36" s="6"/>
      <c r="AF36" s="6"/>
      <c r="AG36" s="6"/>
      <c r="AH36" s="29"/>
      <c r="AI36" s="6"/>
      <c r="AK36" s="43"/>
      <c r="AL36" s="43"/>
      <c r="AM36" s="43"/>
      <c r="AN36" s="43"/>
      <c r="AO36" s="43"/>
      <c r="AP36" s="43"/>
      <c r="AQ36" s="43"/>
      <c r="AR36" s="43"/>
    </row>
    <row r="37" spans="1:44" ht="13.5" thickBot="1">
      <c r="A37" s="2" t="s">
        <v>43</v>
      </c>
      <c r="B37" s="8">
        <f t="shared" si="3"/>
        <v>224.6</v>
      </c>
      <c r="C37" s="65"/>
      <c r="D37" s="65"/>
      <c r="E37" s="65"/>
      <c r="F37" s="65"/>
      <c r="G37" s="65"/>
      <c r="H37" s="6"/>
      <c r="I37" s="6"/>
      <c r="J37" s="29"/>
      <c r="K37" s="65"/>
      <c r="L37" s="65"/>
      <c r="M37" s="29"/>
      <c r="N37" s="65"/>
      <c r="O37" s="6">
        <v>53.6</v>
      </c>
      <c r="P37" s="65"/>
      <c r="Q37" s="65">
        <v>171</v>
      </c>
      <c r="R37" s="65"/>
      <c r="S37" s="65"/>
      <c r="T37" s="65"/>
      <c r="U37" s="6"/>
      <c r="V37" s="29"/>
      <c r="W37" s="6"/>
      <c r="X37" s="6"/>
      <c r="Y37" s="36"/>
      <c r="Z37" s="6"/>
      <c r="AA37" s="6"/>
      <c r="AB37" s="6"/>
      <c r="AC37" s="6"/>
      <c r="AD37" s="6"/>
      <c r="AE37" s="6"/>
      <c r="AF37" s="6"/>
      <c r="AG37" s="6"/>
      <c r="AH37" s="29"/>
      <c r="AI37" s="6"/>
      <c r="AK37" s="43"/>
      <c r="AL37" s="43"/>
      <c r="AM37" s="43"/>
      <c r="AN37" s="43"/>
      <c r="AO37" s="43"/>
      <c r="AP37" s="43"/>
      <c r="AQ37" s="43"/>
      <c r="AR37" s="43"/>
    </row>
    <row r="38" spans="1:44" ht="13.5" thickBot="1">
      <c r="A38" s="2" t="s">
        <v>44</v>
      </c>
      <c r="B38" s="8">
        <f t="shared" si="3"/>
        <v>18.600000000000001</v>
      </c>
      <c r="C38" s="65"/>
      <c r="D38" s="65"/>
      <c r="E38" s="65"/>
      <c r="F38" s="65"/>
      <c r="G38" s="65"/>
      <c r="H38" s="6"/>
      <c r="I38" s="6"/>
      <c r="J38" s="29"/>
      <c r="K38" s="65"/>
      <c r="L38" s="65"/>
      <c r="M38" s="29"/>
      <c r="N38" s="65">
        <v>18.600000000000001</v>
      </c>
      <c r="O38" s="6"/>
      <c r="P38" s="65"/>
      <c r="Q38" s="65"/>
      <c r="R38" s="65"/>
      <c r="S38" s="65"/>
      <c r="T38" s="65"/>
      <c r="U38" s="6"/>
      <c r="V38" s="29"/>
      <c r="W38" s="6"/>
      <c r="X38" s="6"/>
      <c r="Y38" s="36"/>
      <c r="Z38" s="6"/>
      <c r="AA38" s="6"/>
      <c r="AB38" s="6"/>
      <c r="AC38" s="6"/>
      <c r="AD38" s="6"/>
      <c r="AE38" s="6"/>
      <c r="AF38" s="6"/>
      <c r="AG38" s="6"/>
      <c r="AH38" s="29"/>
      <c r="AI38" s="6"/>
      <c r="AK38" s="43"/>
      <c r="AL38" s="43"/>
      <c r="AM38" s="43"/>
      <c r="AN38" s="43"/>
      <c r="AO38" s="43"/>
      <c r="AP38" s="43"/>
      <c r="AQ38" s="43"/>
      <c r="AR38" s="43"/>
    </row>
    <row r="39" spans="1:44" ht="13.5" thickBot="1">
      <c r="A39" s="2" t="s">
        <v>45</v>
      </c>
      <c r="B39" s="8">
        <f t="shared" si="3"/>
        <v>18.2</v>
      </c>
      <c r="C39" s="65"/>
      <c r="D39" s="65"/>
      <c r="E39" s="65"/>
      <c r="F39" s="65"/>
      <c r="G39" s="65"/>
      <c r="H39" s="6"/>
      <c r="I39" s="6"/>
      <c r="J39" s="29"/>
      <c r="K39" s="65"/>
      <c r="L39" s="65"/>
      <c r="M39" s="29"/>
      <c r="N39" s="65">
        <v>7.8</v>
      </c>
      <c r="O39" s="6">
        <v>10.4</v>
      </c>
      <c r="P39" s="65"/>
      <c r="Q39" s="65"/>
      <c r="R39" s="65"/>
      <c r="S39" s="65"/>
      <c r="T39" s="65"/>
      <c r="U39" s="6"/>
      <c r="V39" s="29"/>
      <c r="W39" s="6"/>
      <c r="X39" s="6"/>
      <c r="Y39" s="36"/>
      <c r="Z39" s="6"/>
      <c r="AA39" s="6"/>
      <c r="AB39" s="6"/>
      <c r="AC39" s="6"/>
      <c r="AD39" s="6"/>
      <c r="AE39" s="6"/>
      <c r="AF39" s="6"/>
      <c r="AG39" s="6"/>
      <c r="AH39" s="29"/>
      <c r="AI39" s="6"/>
      <c r="AK39" s="43"/>
      <c r="AL39" s="43"/>
      <c r="AM39" s="43"/>
      <c r="AN39" s="43"/>
      <c r="AO39" s="43"/>
      <c r="AP39" s="43"/>
      <c r="AQ39" s="43"/>
      <c r="AR39" s="43"/>
    </row>
    <row r="40" spans="1:44" ht="13.5" thickBot="1">
      <c r="A40" s="2" t="s">
        <v>46</v>
      </c>
      <c r="B40" s="8">
        <f t="shared" si="3"/>
        <v>17.399999999999999</v>
      </c>
      <c r="C40" s="65"/>
      <c r="D40" s="65"/>
      <c r="E40" s="65"/>
      <c r="F40" s="65"/>
      <c r="G40" s="65"/>
      <c r="H40" s="6"/>
      <c r="I40" s="6"/>
      <c r="J40" s="29"/>
      <c r="K40" s="65"/>
      <c r="L40" s="65"/>
      <c r="M40" s="29"/>
      <c r="N40" s="65">
        <v>7.8</v>
      </c>
      <c r="O40" s="6">
        <v>9.6</v>
      </c>
      <c r="P40" s="65"/>
      <c r="Q40" s="65"/>
      <c r="R40" s="65"/>
      <c r="S40" s="65"/>
      <c r="T40" s="65"/>
      <c r="U40" s="6"/>
      <c r="V40" s="29"/>
      <c r="W40" s="6"/>
      <c r="X40" s="6"/>
      <c r="Y40" s="36"/>
      <c r="Z40" s="6"/>
      <c r="AA40" s="6"/>
      <c r="AB40" s="6"/>
      <c r="AC40" s="6"/>
      <c r="AD40" s="6"/>
      <c r="AE40" s="6"/>
      <c r="AF40" s="6"/>
      <c r="AG40" s="6"/>
      <c r="AH40" s="29"/>
      <c r="AI40" s="6"/>
      <c r="AK40" s="43"/>
      <c r="AL40" s="43"/>
      <c r="AM40" s="43"/>
      <c r="AN40" s="43"/>
      <c r="AO40" s="43"/>
      <c r="AP40" s="43"/>
      <c r="AQ40" s="43"/>
      <c r="AR40" s="43"/>
    </row>
    <row r="41" spans="1:44" ht="13.5" thickBot="1">
      <c r="A41" s="2" t="s">
        <v>47</v>
      </c>
      <c r="B41" s="8">
        <f t="shared" si="3"/>
        <v>18.600000000000001</v>
      </c>
      <c r="C41" s="65"/>
      <c r="D41" s="65"/>
      <c r="E41" s="65"/>
      <c r="F41" s="65"/>
      <c r="G41" s="65"/>
      <c r="H41" s="6"/>
      <c r="I41" s="6"/>
      <c r="J41" s="29"/>
      <c r="K41" s="65"/>
      <c r="L41" s="65"/>
      <c r="M41" s="29"/>
      <c r="N41" s="65">
        <v>18.600000000000001</v>
      </c>
      <c r="O41" s="6"/>
      <c r="P41" s="65"/>
      <c r="Q41" s="65"/>
      <c r="R41" s="65"/>
      <c r="S41" s="65"/>
      <c r="T41" s="65"/>
      <c r="U41" s="6"/>
      <c r="V41" s="29"/>
      <c r="W41" s="6"/>
      <c r="X41" s="6"/>
      <c r="Y41" s="36"/>
      <c r="Z41" s="6"/>
      <c r="AA41" s="6"/>
      <c r="AB41" s="6"/>
      <c r="AC41" s="6"/>
      <c r="AD41" s="6"/>
      <c r="AE41" s="6"/>
      <c r="AF41" s="6"/>
      <c r="AG41" s="6"/>
      <c r="AH41" s="29"/>
      <c r="AI41" s="6"/>
      <c r="AK41" s="43"/>
      <c r="AL41" s="43"/>
      <c r="AM41" s="43"/>
      <c r="AN41" s="43"/>
      <c r="AO41" s="43"/>
      <c r="AP41" s="43"/>
      <c r="AQ41" s="43"/>
      <c r="AR41" s="43"/>
    </row>
    <row r="42" spans="1:44" ht="13.5" thickBot="1">
      <c r="A42" s="2" t="s">
        <v>48</v>
      </c>
      <c r="B42" s="8">
        <f t="shared" si="3"/>
        <v>12</v>
      </c>
      <c r="C42" s="65"/>
      <c r="D42" s="65"/>
      <c r="E42" s="65"/>
      <c r="F42" s="65"/>
      <c r="G42" s="65"/>
      <c r="H42" s="6"/>
      <c r="I42" s="6"/>
      <c r="J42" s="29"/>
      <c r="K42" s="65"/>
      <c r="L42" s="65"/>
      <c r="M42" s="29"/>
      <c r="N42" s="65">
        <v>12</v>
      </c>
      <c r="O42" s="6"/>
      <c r="P42" s="65"/>
      <c r="Q42" s="65"/>
      <c r="R42" s="65"/>
      <c r="S42" s="65"/>
      <c r="T42" s="65"/>
      <c r="U42" s="6"/>
      <c r="V42" s="29"/>
      <c r="W42" s="6"/>
      <c r="X42" s="6"/>
      <c r="Y42" s="36"/>
      <c r="Z42" s="6"/>
      <c r="AA42" s="6"/>
      <c r="AB42" s="6"/>
      <c r="AC42" s="6"/>
      <c r="AD42" s="6"/>
      <c r="AE42" s="6"/>
      <c r="AF42" s="6"/>
      <c r="AG42" s="6"/>
      <c r="AH42" s="29"/>
      <c r="AI42" s="6"/>
      <c r="AK42" s="43"/>
      <c r="AL42" s="43"/>
      <c r="AM42" s="43"/>
      <c r="AN42" s="43"/>
      <c r="AO42" s="43"/>
      <c r="AP42" s="43"/>
      <c r="AQ42" s="43"/>
      <c r="AR42" s="43"/>
    </row>
    <row r="43" spans="1:44" ht="13.5" thickBot="1">
      <c r="A43" s="2" t="s">
        <v>49</v>
      </c>
      <c r="B43" s="8">
        <f t="shared" si="3"/>
        <v>0</v>
      </c>
      <c r="C43" s="65"/>
      <c r="D43" s="65"/>
      <c r="E43" s="65"/>
      <c r="F43" s="65"/>
      <c r="G43" s="65"/>
      <c r="H43" s="6"/>
      <c r="I43" s="6"/>
      <c r="J43" s="29"/>
      <c r="K43" s="65"/>
      <c r="L43" s="65"/>
      <c r="M43" s="29"/>
      <c r="N43" s="65"/>
      <c r="O43" s="6"/>
      <c r="P43" s="65"/>
      <c r="Q43" s="65"/>
      <c r="R43" s="65"/>
      <c r="S43" s="65"/>
      <c r="T43" s="65"/>
      <c r="U43" s="6"/>
      <c r="V43" s="29"/>
      <c r="W43" s="6"/>
      <c r="X43" s="6"/>
      <c r="Y43" s="36"/>
      <c r="Z43" s="6"/>
      <c r="AA43" s="6"/>
      <c r="AB43" s="6"/>
      <c r="AC43" s="6"/>
      <c r="AD43" s="6"/>
      <c r="AE43" s="6"/>
      <c r="AF43" s="6"/>
      <c r="AG43" s="6"/>
      <c r="AH43" s="29"/>
      <c r="AI43" s="6"/>
      <c r="AK43" s="43"/>
      <c r="AL43" s="43"/>
      <c r="AM43" s="43"/>
      <c r="AN43" s="43"/>
      <c r="AO43" s="43"/>
      <c r="AP43" s="43"/>
      <c r="AQ43" s="43"/>
      <c r="AR43" s="43"/>
    </row>
    <row r="44" spans="1:44" ht="13.5" thickBot="1">
      <c r="A44" s="2" t="s">
        <v>2</v>
      </c>
      <c r="B44" s="8">
        <f t="shared" si="3"/>
        <v>70</v>
      </c>
      <c r="C44" s="65"/>
      <c r="D44" s="65"/>
      <c r="E44" s="65">
        <v>20</v>
      </c>
      <c r="F44" s="65"/>
      <c r="G44" s="65"/>
      <c r="H44" s="6"/>
      <c r="I44" s="6"/>
      <c r="J44" s="29"/>
      <c r="K44" s="65"/>
      <c r="L44" s="65"/>
      <c r="M44" s="29"/>
      <c r="N44" s="65"/>
      <c r="O44" s="6"/>
      <c r="P44" s="65"/>
      <c r="Q44" s="65"/>
      <c r="R44" s="65"/>
      <c r="S44" s="65">
        <v>50</v>
      </c>
      <c r="T44" s="65"/>
      <c r="U44" s="6"/>
      <c r="V44" s="29"/>
      <c r="W44" s="6"/>
      <c r="X44" s="6"/>
      <c r="Y44" s="36"/>
      <c r="Z44" s="6"/>
      <c r="AA44" s="6"/>
      <c r="AB44" s="6"/>
      <c r="AC44" s="6"/>
      <c r="AD44" s="6"/>
      <c r="AE44" s="6"/>
      <c r="AF44" s="6"/>
      <c r="AG44" s="6"/>
      <c r="AH44" s="29"/>
      <c r="AI44" s="6"/>
      <c r="AK44" s="43"/>
      <c r="AL44" s="43"/>
      <c r="AM44" s="43"/>
      <c r="AN44" s="43"/>
      <c r="AO44" s="43"/>
      <c r="AP44" s="43"/>
      <c r="AQ44" s="43"/>
      <c r="AR44" s="43"/>
    </row>
    <row r="45" spans="1:44" ht="13.5" thickBot="1">
      <c r="A45" s="2" t="s">
        <v>3</v>
      </c>
      <c r="B45" s="8">
        <f t="shared" si="3"/>
        <v>40</v>
      </c>
      <c r="C45" s="65"/>
      <c r="D45" s="65"/>
      <c r="E45" s="65"/>
      <c r="F45" s="65"/>
      <c r="G45" s="65"/>
      <c r="H45" s="6"/>
      <c r="I45" s="6"/>
      <c r="J45" s="29"/>
      <c r="K45" s="65"/>
      <c r="L45" s="65"/>
      <c r="M45" s="29"/>
      <c r="N45" s="65"/>
      <c r="O45" s="6"/>
      <c r="P45" s="65"/>
      <c r="Q45" s="65"/>
      <c r="R45" s="65"/>
      <c r="S45" s="65"/>
      <c r="T45" s="65">
        <v>40</v>
      </c>
      <c r="U45" s="6"/>
      <c r="V45" s="29"/>
      <c r="W45" s="6"/>
      <c r="X45" s="6"/>
      <c r="Y45" s="36"/>
      <c r="Z45" s="6"/>
      <c r="AA45" s="6"/>
      <c r="AB45" s="6"/>
      <c r="AC45" s="6"/>
      <c r="AD45" s="6"/>
      <c r="AE45" s="6"/>
      <c r="AF45" s="6"/>
      <c r="AG45" s="6"/>
      <c r="AH45" s="29"/>
      <c r="AI45" s="6"/>
      <c r="AK45" s="43"/>
      <c r="AL45" s="43"/>
      <c r="AM45" s="43"/>
      <c r="AN45" s="43"/>
      <c r="AO45" s="43"/>
      <c r="AP45" s="43"/>
      <c r="AQ45" s="43"/>
      <c r="AR45" s="43"/>
    </row>
    <row r="46" spans="1:44" ht="13.5" thickBot="1">
      <c r="A46" s="2" t="s">
        <v>50</v>
      </c>
      <c r="B46" s="8">
        <f t="shared" si="3"/>
        <v>0</v>
      </c>
      <c r="C46" s="65"/>
      <c r="D46" s="65"/>
      <c r="E46" s="65"/>
      <c r="F46" s="65"/>
      <c r="G46" s="65"/>
      <c r="H46" s="6"/>
      <c r="I46" s="6"/>
      <c r="J46" s="29"/>
      <c r="K46" s="65"/>
      <c r="L46" s="65"/>
      <c r="M46" s="29"/>
      <c r="N46" s="65"/>
      <c r="O46" s="6"/>
      <c r="P46" s="65"/>
      <c r="Q46" s="65"/>
      <c r="R46" s="65"/>
      <c r="S46" s="65"/>
      <c r="T46" s="65"/>
      <c r="U46" s="6"/>
      <c r="V46" s="29"/>
      <c r="W46" s="6"/>
      <c r="X46" s="6"/>
      <c r="Y46" s="36"/>
      <c r="Z46" s="6"/>
      <c r="AA46" s="6"/>
      <c r="AB46" s="6"/>
      <c r="AC46" s="6"/>
      <c r="AD46" s="6"/>
      <c r="AE46" s="6"/>
      <c r="AF46" s="6"/>
      <c r="AG46" s="6"/>
      <c r="AH46" s="29"/>
      <c r="AI46" s="6"/>
      <c r="AK46" s="43"/>
      <c r="AL46" s="43"/>
      <c r="AM46" s="43"/>
      <c r="AN46" s="43"/>
      <c r="AO46" s="43"/>
      <c r="AP46" s="43"/>
      <c r="AQ46" s="43"/>
      <c r="AR46" s="43"/>
    </row>
    <row r="47" spans="1:44" ht="13.5" thickBot="1">
      <c r="A47" s="2" t="s">
        <v>51</v>
      </c>
      <c r="B47" s="8">
        <f t="shared" si="3"/>
        <v>0</v>
      </c>
      <c r="C47" s="65"/>
      <c r="D47" s="65"/>
      <c r="E47" s="65"/>
      <c r="F47" s="65"/>
      <c r="G47" s="65"/>
      <c r="H47" s="6"/>
      <c r="I47" s="6"/>
      <c r="J47" s="29"/>
      <c r="K47" s="65"/>
      <c r="L47" s="65"/>
      <c r="M47" s="29"/>
      <c r="N47" s="65"/>
      <c r="O47" s="6"/>
      <c r="P47" s="65"/>
      <c r="Q47" s="65"/>
      <c r="R47" s="65"/>
      <c r="S47" s="65"/>
      <c r="T47" s="65"/>
      <c r="U47" s="6"/>
      <c r="V47" s="29"/>
      <c r="W47" s="6"/>
      <c r="X47" s="6"/>
      <c r="Y47" s="36"/>
      <c r="Z47" s="6"/>
      <c r="AA47" s="6"/>
      <c r="AB47" s="6"/>
      <c r="AC47" s="6"/>
      <c r="AD47" s="6"/>
      <c r="AE47" s="6"/>
      <c r="AF47" s="6"/>
      <c r="AG47" s="6"/>
      <c r="AH47" s="29"/>
      <c r="AI47" s="6"/>
      <c r="AK47" s="43"/>
      <c r="AL47" s="43"/>
      <c r="AM47" s="43"/>
      <c r="AN47" s="43"/>
      <c r="AO47" s="43"/>
      <c r="AP47" s="43"/>
      <c r="AQ47" s="43"/>
      <c r="AR47" s="43"/>
    </row>
    <row r="48" spans="1:44" ht="13.5" thickBot="1">
      <c r="A48" s="2" t="s">
        <v>52</v>
      </c>
      <c r="B48" s="8">
        <f t="shared" si="3"/>
        <v>2.4</v>
      </c>
      <c r="C48" s="65"/>
      <c r="D48" s="65"/>
      <c r="E48" s="65"/>
      <c r="F48" s="65"/>
      <c r="G48" s="65"/>
      <c r="H48" s="6"/>
      <c r="I48" s="6"/>
      <c r="J48" s="29"/>
      <c r="K48" s="65"/>
      <c r="L48" s="65"/>
      <c r="M48" s="29"/>
      <c r="N48" s="65"/>
      <c r="O48" s="6">
        <v>2.4</v>
      </c>
      <c r="P48" s="65"/>
      <c r="Q48" s="65"/>
      <c r="R48" s="65"/>
      <c r="S48" s="65"/>
      <c r="T48" s="65"/>
      <c r="U48" s="6"/>
      <c r="V48" s="29"/>
      <c r="W48" s="6"/>
      <c r="X48" s="6"/>
      <c r="Y48" s="36"/>
      <c r="Z48" s="6"/>
      <c r="AA48" s="6"/>
      <c r="AB48" s="6"/>
      <c r="AC48" s="6"/>
      <c r="AD48" s="6"/>
      <c r="AE48" s="6"/>
      <c r="AF48" s="6"/>
      <c r="AG48" s="6"/>
      <c r="AH48" s="29"/>
      <c r="AI48" s="6"/>
      <c r="AK48" s="43"/>
      <c r="AL48" s="43"/>
      <c r="AM48" s="43"/>
      <c r="AN48" s="43"/>
      <c r="AO48" s="43"/>
      <c r="AP48" s="43"/>
      <c r="AQ48" s="43"/>
      <c r="AR48" s="43"/>
    </row>
    <row r="49" spans="1:44" ht="13.5" thickBot="1">
      <c r="A49" s="2" t="s">
        <v>13</v>
      </c>
      <c r="B49" s="8">
        <f t="shared" si="3"/>
        <v>200</v>
      </c>
      <c r="C49" s="65"/>
      <c r="D49" s="65"/>
      <c r="E49" s="65"/>
      <c r="F49" s="65"/>
      <c r="G49" s="65"/>
      <c r="H49" s="6"/>
      <c r="I49" s="6"/>
      <c r="J49" s="29"/>
      <c r="K49" s="65"/>
      <c r="L49" s="65"/>
      <c r="M49" s="29"/>
      <c r="N49" s="65"/>
      <c r="O49" s="6"/>
      <c r="P49" s="65"/>
      <c r="Q49" s="65"/>
      <c r="R49" s="65">
        <v>200</v>
      </c>
      <c r="S49" s="65"/>
      <c r="T49" s="65"/>
      <c r="U49" s="6"/>
      <c r="V49" s="29"/>
      <c r="W49" s="6"/>
      <c r="X49" s="6"/>
      <c r="Y49" s="36"/>
      <c r="Z49" s="6"/>
      <c r="AA49" s="6"/>
      <c r="AB49" s="6"/>
      <c r="AC49" s="6"/>
      <c r="AD49" s="6"/>
      <c r="AE49" s="6"/>
      <c r="AF49" s="6"/>
      <c r="AG49" s="6"/>
      <c r="AH49" s="29"/>
      <c r="AI49" s="6"/>
      <c r="AK49" s="43"/>
      <c r="AL49" s="43"/>
      <c r="AM49" s="43"/>
      <c r="AN49" s="43"/>
      <c r="AO49" s="43"/>
      <c r="AP49" s="43"/>
      <c r="AQ49" s="43"/>
      <c r="AR49" s="43"/>
    </row>
    <row r="50" spans="1:44" ht="13.5" thickBot="1">
      <c r="A50" s="2" t="s">
        <v>53</v>
      </c>
      <c r="B50" s="8">
        <f t="shared" si="3"/>
        <v>0</v>
      </c>
      <c r="C50" s="65"/>
      <c r="D50" s="65"/>
      <c r="E50" s="65"/>
      <c r="F50" s="65"/>
      <c r="G50" s="65"/>
      <c r="H50" s="6"/>
      <c r="I50" s="6"/>
      <c r="J50" s="29"/>
      <c r="K50" s="65"/>
      <c r="L50" s="65"/>
      <c r="M50" s="29"/>
      <c r="N50" s="65"/>
      <c r="O50" s="6"/>
      <c r="P50" s="65"/>
      <c r="Q50" s="65"/>
      <c r="R50" s="65"/>
      <c r="S50" s="65"/>
      <c r="T50" s="65"/>
      <c r="U50" s="6"/>
      <c r="V50" s="29"/>
      <c r="W50" s="6"/>
      <c r="X50" s="6"/>
      <c r="Y50" s="36"/>
      <c r="Z50" s="6"/>
      <c r="AA50" s="6"/>
      <c r="AB50" s="6"/>
      <c r="AC50" s="6"/>
      <c r="AD50" s="6"/>
      <c r="AE50" s="6"/>
      <c r="AF50" s="6"/>
      <c r="AG50" s="6"/>
      <c r="AH50" s="29"/>
      <c r="AI50" s="6"/>
      <c r="AK50" s="43"/>
      <c r="AL50" s="43"/>
      <c r="AM50" s="43"/>
      <c r="AN50" s="43"/>
      <c r="AO50" s="43"/>
      <c r="AP50" s="43"/>
      <c r="AQ50" s="43"/>
      <c r="AR50" s="43"/>
    </row>
    <row r="51" spans="1:44" ht="15" customHeight="1" thickBot="1">
      <c r="A51" s="2" t="s">
        <v>115</v>
      </c>
      <c r="B51" s="64">
        <f>C51+D51+E51+F51+G51+H51+I51+J51+K51+L51+M51+N51+O51+P51+Q51+R51+S51+T51+U51+V51+W51+X51+Y51+Z51+AA51+AB51+AC51+AD51+AE51+AF51+AG51+AI51</f>
        <v>181</v>
      </c>
      <c r="C51" s="2"/>
      <c r="D51" s="2">
        <v>181</v>
      </c>
      <c r="E51" s="2"/>
      <c r="F51" s="2"/>
      <c r="G51" s="65"/>
      <c r="H51" s="2"/>
      <c r="I51" s="2"/>
      <c r="J51" s="65"/>
      <c r="K51" s="2"/>
      <c r="L51" s="6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5"/>
      <c r="AI51" s="2"/>
    </row>
  </sheetData>
  <mergeCells count="20">
    <mergeCell ref="AA2:AH2"/>
    <mergeCell ref="B3:J3"/>
    <mergeCell ref="K3:L3"/>
    <mergeCell ref="N3:V3"/>
    <mergeCell ref="W3:X3"/>
    <mergeCell ref="AA3:AH3"/>
    <mergeCell ref="B2:J2"/>
    <mergeCell ref="K2:L2"/>
    <mergeCell ref="N2:V2"/>
    <mergeCell ref="W2:X2"/>
    <mergeCell ref="AB1:AH1"/>
    <mergeCell ref="B1:J1"/>
    <mergeCell ref="K1:L1"/>
    <mergeCell ref="N1:V1"/>
    <mergeCell ref="W1:X1"/>
    <mergeCell ref="Z4:AH4"/>
    <mergeCell ref="C4:J4"/>
    <mergeCell ref="K4:L4"/>
    <mergeCell ref="N4:V4"/>
    <mergeCell ref="W4:X4"/>
  </mergeCells>
  <phoneticPr fontId="4" type="noConversion"/>
  <pageMargins left="0.16" right="0.16" top="0.23" bottom="0.23" header="0.16" footer="0.15"/>
  <pageSetup paperSize="9"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51"/>
  <sheetViews>
    <sheetView zoomScale="75" workbookViewId="0">
      <selection activeCell="E5" sqref="E5"/>
    </sheetView>
  </sheetViews>
  <sheetFormatPr defaultRowHeight="12.75"/>
  <cols>
    <col min="1" max="1" width="23.5703125" customWidth="1"/>
    <col min="2" max="2" width="6.28515625" customWidth="1"/>
    <col min="3" max="3" width="7.28515625" customWidth="1"/>
    <col min="4" max="4" width="5.85546875" customWidth="1"/>
    <col min="5" max="5" width="7.140625" customWidth="1"/>
    <col min="6" max="6" width="5.42578125" customWidth="1"/>
    <col min="7" max="7" width="6.42578125" customWidth="1"/>
    <col min="8" max="8" width="4.5703125" customWidth="1"/>
    <col min="9" max="9" width="4.28515625" customWidth="1"/>
    <col min="10" max="10" width="0.42578125" customWidth="1"/>
    <col min="11" max="11" width="6.85546875" customWidth="1"/>
    <col min="12" max="12" width="4.7109375" customWidth="1"/>
    <col min="13" max="13" width="1" customWidth="1"/>
    <col min="14" max="14" width="5.5703125" customWidth="1"/>
    <col min="15" max="15" width="5.42578125" customWidth="1"/>
    <col min="16" max="16" width="6.85546875" customWidth="1"/>
    <col min="17" max="17" width="5.28515625" customWidth="1"/>
    <col min="18" max="18" width="6.140625" customWidth="1"/>
    <col min="19" max="19" width="5.42578125" customWidth="1"/>
    <col min="20" max="20" width="5.7109375" customWidth="1"/>
    <col min="21" max="21" width="5.5703125" customWidth="1"/>
    <col min="22" max="22" width="0.42578125" customWidth="1"/>
    <col min="23" max="23" width="6.28515625" customWidth="1"/>
    <col min="24" max="24" width="5.42578125" customWidth="1"/>
    <col min="25" max="25" width="6.140625" customWidth="1"/>
    <col min="26" max="26" width="5.5703125" customWidth="1"/>
    <col min="27" max="27" width="6.140625" customWidth="1"/>
    <col min="28" max="28" width="5.28515625" customWidth="1"/>
    <col min="29" max="29" width="6" customWidth="1"/>
    <col min="30" max="31" width="6.140625" customWidth="1"/>
    <col min="32" max="32" width="1.140625" customWidth="1"/>
    <col min="33" max="33" width="4.42578125" customWidth="1"/>
    <col min="34" max="34" width="0.85546875" customWidth="1"/>
    <col min="35" max="35" width="6.7109375" customWidth="1"/>
  </cols>
  <sheetData>
    <row r="1" spans="1:44" ht="13.5" thickBot="1">
      <c r="A1" s="1" t="s">
        <v>75</v>
      </c>
      <c r="B1" s="83" t="s">
        <v>89</v>
      </c>
      <c r="C1" s="82"/>
      <c r="D1" s="82"/>
      <c r="E1" s="82"/>
      <c r="F1" s="82"/>
      <c r="G1" s="82"/>
      <c r="H1" s="82"/>
      <c r="I1" s="82"/>
      <c r="J1" s="84"/>
      <c r="K1" s="83"/>
      <c r="L1" s="84"/>
      <c r="M1" s="39"/>
      <c r="N1" s="83" t="s">
        <v>90</v>
      </c>
      <c r="O1" s="82"/>
      <c r="P1" s="82"/>
      <c r="Q1" s="82"/>
      <c r="R1" s="82"/>
      <c r="S1" s="82"/>
      <c r="T1" s="82"/>
      <c r="U1" s="82"/>
      <c r="V1" s="84"/>
      <c r="W1" s="83">
        <v>15</v>
      </c>
      <c r="X1" s="82"/>
      <c r="Y1" s="39"/>
      <c r="Z1" s="38"/>
      <c r="AA1" s="37"/>
      <c r="AB1" s="82"/>
      <c r="AC1" s="82"/>
      <c r="AD1" s="82"/>
      <c r="AE1" s="82"/>
      <c r="AF1" s="82"/>
      <c r="AG1" s="82"/>
      <c r="AH1" s="82"/>
      <c r="AI1" s="39">
        <f>AI3*100/B7</f>
        <v>0</v>
      </c>
    </row>
    <row r="2" spans="1:44" ht="26.25" thickBot="1">
      <c r="A2" s="1" t="s">
        <v>4</v>
      </c>
      <c r="B2" s="77">
        <f>B3*100/2350</f>
        <v>19.40193404255319</v>
      </c>
      <c r="C2" s="73"/>
      <c r="D2" s="73"/>
      <c r="E2" s="73"/>
      <c r="F2" s="73"/>
      <c r="G2" s="73"/>
      <c r="H2" s="73"/>
      <c r="I2" s="73"/>
      <c r="J2" s="78"/>
      <c r="K2" s="77">
        <f>K3*100/B7</f>
        <v>0</v>
      </c>
      <c r="L2" s="78"/>
      <c r="M2" s="10"/>
      <c r="N2" s="77">
        <f>N3*100/2350</f>
        <v>32.576659574468088</v>
      </c>
      <c r="O2" s="73"/>
      <c r="P2" s="73"/>
      <c r="Q2" s="73"/>
      <c r="R2" s="73"/>
      <c r="S2" s="73"/>
      <c r="T2" s="73"/>
      <c r="U2" s="73"/>
      <c r="V2" s="78"/>
      <c r="W2" s="77">
        <f>W3*100/1970</f>
        <v>0</v>
      </c>
      <c r="X2" s="73"/>
      <c r="Y2" s="10"/>
      <c r="Z2" s="9"/>
      <c r="AA2" s="73">
        <f>AA3*100/B7</f>
        <v>0</v>
      </c>
      <c r="AB2" s="73"/>
      <c r="AC2" s="73"/>
      <c r="AD2" s="73"/>
      <c r="AE2" s="73"/>
      <c r="AF2" s="73"/>
      <c r="AG2" s="73"/>
      <c r="AH2" s="73"/>
      <c r="AI2" s="10">
        <f>AI3*100/B7</f>
        <v>0</v>
      </c>
    </row>
    <row r="3" spans="1:44" ht="13.5" thickBot="1">
      <c r="A3" s="2" t="s">
        <v>5</v>
      </c>
      <c r="B3" s="74">
        <f>C7+D7+E7+F7+G7+H7+I7+J7</f>
        <v>455.94544999999999</v>
      </c>
      <c r="C3" s="75"/>
      <c r="D3" s="75"/>
      <c r="E3" s="75"/>
      <c r="F3" s="75"/>
      <c r="G3" s="75"/>
      <c r="H3" s="75"/>
      <c r="I3" s="75"/>
      <c r="J3" s="76"/>
      <c r="K3" s="74">
        <f>K7+L7</f>
        <v>0</v>
      </c>
      <c r="L3" s="76"/>
      <c r="M3" s="11"/>
      <c r="N3" s="74">
        <f>N7+O7+P7+Q7+R7+S7+T7+U7+V7</f>
        <v>765.55150000000003</v>
      </c>
      <c r="O3" s="75"/>
      <c r="P3" s="75"/>
      <c r="Q3" s="75"/>
      <c r="R3" s="75"/>
      <c r="S3" s="75"/>
      <c r="T3" s="75"/>
      <c r="U3" s="75"/>
      <c r="V3" s="76"/>
      <c r="W3" s="77">
        <f>W7+X7+Y7+Z7</f>
        <v>0</v>
      </c>
      <c r="X3" s="75"/>
      <c r="Y3" s="11"/>
      <c r="Z3" s="12"/>
      <c r="AA3" s="75"/>
      <c r="AB3" s="75"/>
      <c r="AC3" s="75"/>
      <c r="AD3" s="75"/>
      <c r="AE3" s="75"/>
      <c r="AF3" s="75"/>
      <c r="AG3" s="75"/>
      <c r="AH3" s="75"/>
      <c r="AI3" s="11">
        <f>AI7</f>
        <v>0</v>
      </c>
    </row>
    <row r="4" spans="1:44" ht="15" customHeight="1" thickBot="1">
      <c r="A4" s="2"/>
      <c r="B4" s="3"/>
      <c r="C4" s="79" t="s">
        <v>1</v>
      </c>
      <c r="D4" s="80"/>
      <c r="E4" s="80"/>
      <c r="F4" s="80"/>
      <c r="G4" s="80"/>
      <c r="H4" s="80"/>
      <c r="I4" s="80"/>
      <c r="J4" s="81"/>
      <c r="K4" s="79" t="s">
        <v>6</v>
      </c>
      <c r="L4" s="81"/>
      <c r="M4" s="3"/>
      <c r="N4" s="79" t="s">
        <v>7</v>
      </c>
      <c r="O4" s="80"/>
      <c r="P4" s="80"/>
      <c r="Q4" s="80"/>
      <c r="R4" s="80"/>
      <c r="S4" s="80"/>
      <c r="T4" s="80"/>
      <c r="U4" s="80"/>
      <c r="V4" s="81"/>
      <c r="W4" s="79" t="s">
        <v>8</v>
      </c>
      <c r="X4" s="80"/>
      <c r="Y4" s="3"/>
      <c r="Z4" s="79" t="s">
        <v>9</v>
      </c>
      <c r="AA4" s="80"/>
      <c r="AB4" s="80"/>
      <c r="AC4" s="80"/>
      <c r="AD4" s="80"/>
      <c r="AE4" s="80"/>
      <c r="AF4" s="80"/>
      <c r="AG4" s="80"/>
      <c r="AH4" s="80"/>
      <c r="AI4" s="3" t="s">
        <v>10</v>
      </c>
    </row>
    <row r="5" spans="1:44" ht="132.75" customHeight="1" thickBot="1">
      <c r="A5" s="2" t="s">
        <v>85</v>
      </c>
      <c r="B5" s="5" t="s">
        <v>11</v>
      </c>
      <c r="C5" s="72" t="s">
        <v>135</v>
      </c>
      <c r="D5" s="72" t="s">
        <v>134</v>
      </c>
      <c r="E5" s="72" t="s">
        <v>96</v>
      </c>
      <c r="F5" s="40" t="s">
        <v>2</v>
      </c>
      <c r="G5" s="5" t="s">
        <v>136</v>
      </c>
      <c r="H5" s="5"/>
      <c r="I5" s="5"/>
      <c r="J5" s="27"/>
      <c r="K5" s="5"/>
      <c r="L5" s="5"/>
      <c r="M5" s="27"/>
      <c r="N5" s="72" t="s">
        <v>103</v>
      </c>
      <c r="O5" s="72" t="s">
        <v>120</v>
      </c>
      <c r="P5" s="72" t="s">
        <v>99</v>
      </c>
      <c r="Q5" s="72" t="s">
        <v>133</v>
      </c>
      <c r="R5" s="72" t="s">
        <v>91</v>
      </c>
      <c r="S5" s="5" t="s">
        <v>2</v>
      </c>
      <c r="T5" s="5" t="s">
        <v>102</v>
      </c>
      <c r="U5" s="5"/>
      <c r="V5" s="27"/>
      <c r="W5" s="5"/>
      <c r="X5" s="5"/>
      <c r="Y5" s="35"/>
      <c r="Z5" s="5"/>
      <c r="AA5" s="40"/>
      <c r="AB5" s="5"/>
      <c r="AC5" s="5"/>
      <c r="AD5" s="40"/>
      <c r="AE5" s="5"/>
      <c r="AF5" s="5"/>
      <c r="AG5" s="52"/>
      <c r="AH5" s="62"/>
      <c r="AI5" s="40"/>
      <c r="AK5" s="47"/>
      <c r="AL5" s="44"/>
      <c r="AM5" s="47"/>
      <c r="AN5" s="47"/>
      <c r="AO5" s="47"/>
      <c r="AP5" s="44"/>
      <c r="AQ5" s="44"/>
      <c r="AR5" s="48"/>
    </row>
    <row r="6" spans="1:44" ht="13.5" thickBot="1">
      <c r="A6" s="2" t="s">
        <v>15</v>
      </c>
      <c r="B6" s="24"/>
      <c r="C6" s="4">
        <v>100</v>
      </c>
      <c r="D6" s="4">
        <v>12</v>
      </c>
      <c r="E6" s="4">
        <v>200</v>
      </c>
      <c r="F6" s="4">
        <v>20</v>
      </c>
      <c r="G6" s="4">
        <v>170</v>
      </c>
      <c r="H6" s="4"/>
      <c r="I6" s="4"/>
      <c r="J6" s="28"/>
      <c r="K6" s="4"/>
      <c r="L6" s="4"/>
      <c r="M6" s="28"/>
      <c r="N6" s="4">
        <v>60</v>
      </c>
      <c r="O6" s="4">
        <v>200</v>
      </c>
      <c r="P6" s="4">
        <v>100</v>
      </c>
      <c r="Q6" s="4">
        <v>150</v>
      </c>
      <c r="R6" s="4">
        <v>200</v>
      </c>
      <c r="S6" s="4">
        <v>50</v>
      </c>
      <c r="T6" s="4">
        <v>40</v>
      </c>
      <c r="U6" s="4"/>
      <c r="V6" s="28"/>
      <c r="W6" s="4"/>
      <c r="X6" s="4"/>
      <c r="Y6" s="24"/>
      <c r="Z6" s="4"/>
      <c r="AA6" s="4"/>
      <c r="AB6" s="4"/>
      <c r="AC6" s="4"/>
      <c r="AD6" s="4"/>
      <c r="AE6" s="4"/>
      <c r="AF6" s="4"/>
      <c r="AG6" s="1"/>
      <c r="AH6" s="31"/>
      <c r="AI6" s="4"/>
      <c r="AK6" s="45"/>
      <c r="AL6" s="45"/>
      <c r="AM6" s="45"/>
      <c r="AN6" s="45"/>
      <c r="AO6" s="45"/>
      <c r="AP6" s="45"/>
      <c r="AQ6" s="45"/>
      <c r="AR6" s="45"/>
    </row>
    <row r="7" spans="1:44" ht="13.5" thickBot="1">
      <c r="A7" s="2" t="s">
        <v>0</v>
      </c>
      <c r="B7" s="8">
        <f>C7+D7+E7+F7+G7+H7+I7+J7+K7+L7+M7+N7+O7+P7+Q7+R7+S7+T7+U7+V7+W7+X7+Y7+Z7+AA7+AB7+AC7+AD7+AE7+AF7+AG7+AI7</f>
        <v>1221.49695</v>
      </c>
      <c r="C7" s="8">
        <f t="shared" ref="C7:I7" si="0">C8*1.1928+C9*1.1928+C10*1.3875+C11*1.1928+C12*3.01+C13*3.01+C14*0.783+C15*7.09+C16*8.99+C17*0.52+C18*1.18+C19*1.56+C20*3.6+C21*1.3659+C22*3.34+C23*3.68+C24*3.314+C25*3.314+C26*3.314+C27*3.314+C28*3.314+C29*3.314+C30*3.314+C31*3.314+C32*3.74+C34*3.558+C35*0.466+C36*0.396+C37*0.56+C38*0.2744+C39*0.2744+C40*0.2744+C41*0.2744+C42*0.2744+C43*0.2744+C44*2.26+C45*1.81+C46*3.78+C49*0.31+C50*3.69</f>
        <v>162.88544999999999</v>
      </c>
      <c r="D7" s="8">
        <f t="shared" si="0"/>
        <v>47.519999999999996</v>
      </c>
      <c r="E7" s="8">
        <f t="shared" si="0"/>
        <v>131.04000000000002</v>
      </c>
      <c r="F7" s="8">
        <f t="shared" si="0"/>
        <v>45.199999999999996</v>
      </c>
      <c r="G7" s="8">
        <f>G8*1.1928+G9*1.1928+G10*1.3875+G11*1.1928+G12*3.01+G13*3.01+G14*0.783+G15*7.09+G16*8.99+G17*0.52+G18*1.18+G19*1.56+G20*3.6+G21*1.3659+G22*3.34+G23*3.68+G24*3.314+G25*3.314+G26*3.314+G27*3.314+G28*3.314+G29*3.314+G30*3.314+G31*3.314+G32*3.74+G34*3.558+G35*0.466+G36*0.396+G37*0.56+G38*0.2744+G39*0.2744+G40*0.2744+G41*0.2744+G42*0.2744+G43*0.2744+G44*2.26+G45*1.81+G46*3.78+G49*0.31+G50*3.69</f>
        <v>69.3</v>
      </c>
      <c r="H7" s="8">
        <f t="shared" si="0"/>
        <v>0</v>
      </c>
      <c r="I7" s="8">
        <f t="shared" si="0"/>
        <v>0</v>
      </c>
      <c r="J7" s="29"/>
      <c r="K7" s="8">
        <f>K8*1.1928+K9*1.1928+K10*1.3875+K11*1.1928+K12*3.01+K13*3.01+K14*0.783+K15*7.09+K16*8.99+K17*0.52+K18*1.18+K19*1.56+K20*3.6+K21*1.3659+K22*3.34+K23*3.68+K24*3.314+K25*3.314+K26*3.314+K27*3.314+K28*3.314+K29*3.314+K30*3.314+K31*3.314+K32*3.74+K34*3.558+K35*0.466+K36*0.396+K37*0.56+K38*0.2744+K39*0.2744+K40*0.2744+K41*0.2744+K42*0.2744+K43*0.2744+K44*2.26+K45*1.81+K46*3.78+K49*0.31+K50*3.69</f>
        <v>0</v>
      </c>
      <c r="L7" s="8">
        <f>L8*1.1928+L9*1.1928+L10*1.3875+L11*1.1928+L12*3.01+L13*3.01+L14*0.783+L15*7.09+L16*8.99+L17*0.52+L18*1.18+L19*1.56+L20*3.6+L21*1.3659+L22*3.34+L23*3.68+L24*3.314+L25*3.314+L26*3.314+L27*3.314+L28*3.314+L29*3.314+L30*3.314+L31*3.314+L32*3.74+L34*3.558+L35*0.466+L36*0.396+L37*0.56+L38*0.2744+L39*0.2744+L40*0.2744+L41*0.2744+L42*0.2744+L43*0.2744+L44*2.26+L45*1.81+L46*3.78+L49*0.31+L50*3.69</f>
        <v>0</v>
      </c>
      <c r="M7" s="29"/>
      <c r="N7" s="8">
        <f t="shared" ref="N7:T7" si="1">N8*1.1928+N9*1.1928+N10*1.3875+N11*1.1928+N12*3.01+N13*3.01+N14*0.783+N15*7.09+N16*8.99+N17*0.52+N18*1.18+N19*1.56+N20*3.6+N21*1.3659+N22*3.34+N23*3.68+N24*3.314+N25*3.314+N26*3.314+N27*3.314+N28*3.314+N29*3.314+N30*3.314+N31*3.314+N32*3.74+N34*3.558+N35*0.466+N36*0.396+N37*0.56+N38*0.2744+N39*0.2744+N40*0.2744+N41*0.2744+N42*0.2744+N43*0.2744+N44*2.26+N45*1.81+N46*3.78+N49*0.31+N50*3.69</f>
        <v>56.574799999999996</v>
      </c>
      <c r="O7" s="8">
        <f t="shared" si="1"/>
        <v>81.482559999999992</v>
      </c>
      <c r="P7" s="8">
        <f>P8*1.1928+P9*1.1928+P10*1.3875+P11*1.1928+P12*3.01+P13*3.01+P14*0.783+P15*7.09+P16*8.99+P17*0.52+P18*1.18+P19*1.56+P20*3.6+P21*1.3659+P22*3.34+P23*3.68+P24*3.314+P25*3.314+P26*3.314+P27*3.314+P28*3.314+P29*3.314+P30*3.314+P31*3.314+P32*3.74+P34*3.558+P35*0.466+P36*0.396+P37*0.56+P38*0.2744+P39*0.2744+P40*0.2744+P41*0.2744+P42*0.2744+P43*0.2744+P44*2.26+P45*1.81+P46*3.78+P49*0.31+P50*3.69</f>
        <v>239.2225</v>
      </c>
      <c r="Q7" s="8">
        <f t="shared" si="1"/>
        <v>146.77163999999999</v>
      </c>
      <c r="R7" s="8">
        <f t="shared" si="1"/>
        <v>56.1</v>
      </c>
      <c r="S7" s="8">
        <f t="shared" si="1"/>
        <v>112.99999999999999</v>
      </c>
      <c r="T7" s="8">
        <f t="shared" si="1"/>
        <v>72.400000000000006</v>
      </c>
      <c r="U7" s="8">
        <f>U8*1.1928+U9*1.1928+U10*1.3875+U11*1.1928+U12*3.01+U13*3.01+U14*0.783+U15*7.09+U16*8.99+U17*0.52+U18*1.18+U19*1.56+U20*3.6+U21*1.3659+U22*3.34+U23*3.68+U24*3.314+U25*3.314+U26*3.314+U27*3.314+U28*3.314+U29*3.314+U30*3.314+U31*3.314+U32*3.74+U34*3.558+U35*0.466+U36*0.396+U37*0.56+U38*0.2744+U39*0.2744+U40*0.2744+U41*0.2744+U42*0.2744+U43*0.2744+U44*2.26+U45*1.81+U46*3.78+U49*0.31+U50*3.69</f>
        <v>0</v>
      </c>
      <c r="V7" s="29"/>
      <c r="W7" s="8"/>
      <c r="X7" s="8"/>
      <c r="Y7" s="8">
        <f t="shared" ref="Y7:AG7" si="2">Y8*1.1928+Y9*1.1928+Y10*1.3875+Y11*1.1928+Y12*3.01+Y13*3.01+Y14*0.783+Y15*7.09+Y16*8.99+Y17*0.52+Y18*1.18+Y19*1.56+Y20*3.6+Y21*1.3659+Y22*3.34+Y23*3.68+Y24*3.314+Y25*3.314+Y26*3.314+Y27*3.314+Y28*3.314+Y29*3.314+Y30*3.314+Y31*3.314+Y32*3.74+Y34*3.558+Y35*0.466+Y36*0.396+Y37*0.56+Y38*0.2744+Y39*0.2744+Y40*0.2744+Y41*0.2744+Y42*0.2744+Y43*0.2744+Y44*2.26+Y45*1.81+Y46*3.78+Y49*0.31+Y50*3.69</f>
        <v>0</v>
      </c>
      <c r="Z7" s="8">
        <f t="shared" si="2"/>
        <v>0</v>
      </c>
      <c r="AA7" s="8">
        <f t="shared" si="2"/>
        <v>0</v>
      </c>
      <c r="AB7" s="8">
        <f t="shared" si="2"/>
        <v>0</v>
      </c>
      <c r="AC7" s="8">
        <f t="shared" si="2"/>
        <v>0</v>
      </c>
      <c r="AD7" s="8">
        <f t="shared" si="2"/>
        <v>0</v>
      </c>
      <c r="AE7" s="8">
        <f t="shared" si="2"/>
        <v>0</v>
      </c>
      <c r="AF7" s="8">
        <f t="shared" si="2"/>
        <v>0</v>
      </c>
      <c r="AG7" s="8">
        <f t="shared" si="2"/>
        <v>0</v>
      </c>
      <c r="AH7" s="31"/>
      <c r="AI7" s="8">
        <f>AI8*1.1928+AI9*1.1928+AI10*1.3875+AI11*1.1928+AI12*3.01+AI13*3.01+AI14*0.783+AI15*7.09+AI16*8.99+AI17*0.52+AI18*1.18+AI19*1.56+AI20*3.6+AI21*1.3659+AI22*3.34+AI23*3.68+AI24*3.314+AI25*3.314+AI26*3.314+AI27*3.314+AI28*3.314+AI29*3.314+AI30*3.314+AI31*3.314+AI32*3.74+AI34*3.558+AI35*0.466+AI36*0.396+AI37*0.56+AI38*0.2744+AI39*0.2744+AI40*0.2744+AI41*0.2744+AI42*0.2744+AI43*0.2744+AI44*2.26+AI45*1.81+AI46*3.78+AI49*0.31+AI50*3.69</f>
        <v>0</v>
      </c>
      <c r="AK7" s="46"/>
      <c r="AL7" s="46"/>
      <c r="AM7" s="46"/>
      <c r="AN7" s="46"/>
      <c r="AO7" s="46"/>
      <c r="AP7" s="46"/>
      <c r="AQ7" s="46"/>
      <c r="AR7" s="46"/>
    </row>
    <row r="8" spans="1:44" ht="13.5" thickBot="1">
      <c r="A8" s="2" t="s">
        <v>16</v>
      </c>
      <c r="B8" s="8">
        <f t="shared" ref="B8:B20" si="3">C8+D8+E8+F8+G8+H8+I8+J8+K8+L8+M8+N8+O8+P8+Q8+R8+S8+T8+U8+V8+W8+X8+Y8+Z8+AA8+AB8+AC8+AD8+AE8+AG8+AH8+AI8</f>
        <v>100</v>
      </c>
      <c r="C8" s="65"/>
      <c r="D8" s="65"/>
      <c r="E8" s="65"/>
      <c r="F8" s="65"/>
      <c r="G8" s="65"/>
      <c r="H8" s="6"/>
      <c r="I8" s="6"/>
      <c r="J8" s="29"/>
      <c r="K8" s="65"/>
      <c r="L8" s="6"/>
      <c r="M8" s="29"/>
      <c r="N8" s="65"/>
      <c r="O8" s="65"/>
      <c r="P8" s="65">
        <v>100</v>
      </c>
      <c r="Q8" s="65"/>
      <c r="R8" s="65"/>
      <c r="S8" s="65"/>
      <c r="T8" s="65"/>
      <c r="U8" s="6"/>
      <c r="V8" s="29"/>
      <c r="W8" s="6"/>
      <c r="X8" s="6"/>
      <c r="Y8" s="36"/>
      <c r="Z8" s="6"/>
      <c r="AA8" s="6"/>
      <c r="AB8" s="6"/>
      <c r="AC8" s="6"/>
      <c r="AD8" s="6"/>
      <c r="AE8" s="6"/>
      <c r="AF8" s="6"/>
      <c r="AG8" s="6"/>
      <c r="AH8" s="29"/>
      <c r="AI8" s="6"/>
      <c r="AK8" s="43"/>
      <c r="AL8" s="43"/>
      <c r="AM8" s="43"/>
      <c r="AN8" s="43"/>
      <c r="AO8" s="43"/>
      <c r="AP8" s="43"/>
      <c r="AQ8" s="43"/>
      <c r="AR8" s="43"/>
    </row>
    <row r="9" spans="1:44" ht="13.5" thickBot="1">
      <c r="A9" s="2" t="s">
        <v>17</v>
      </c>
      <c r="B9" s="8">
        <f t="shared" si="3"/>
        <v>0</v>
      </c>
      <c r="C9" s="65"/>
      <c r="D9" s="65"/>
      <c r="E9" s="65"/>
      <c r="F9" s="65"/>
      <c r="G9" s="65"/>
      <c r="H9" s="6"/>
      <c r="I9" s="6"/>
      <c r="J9" s="29"/>
      <c r="K9" s="65"/>
      <c r="L9" s="6"/>
      <c r="M9" s="29"/>
      <c r="N9" s="65"/>
      <c r="O9" s="65"/>
      <c r="P9" s="65"/>
      <c r="Q9" s="65"/>
      <c r="R9" s="65"/>
      <c r="S9" s="65"/>
      <c r="T9" s="65"/>
      <c r="U9" s="6"/>
      <c r="V9" s="29"/>
      <c r="W9" s="6"/>
      <c r="X9" s="6"/>
      <c r="Y9" s="36"/>
      <c r="Z9" s="6"/>
      <c r="AA9" s="6"/>
      <c r="AB9" s="6"/>
      <c r="AC9" s="6"/>
      <c r="AD9" s="6"/>
      <c r="AE9" s="6"/>
      <c r="AF9" s="6"/>
      <c r="AG9" s="6"/>
      <c r="AH9" s="29"/>
      <c r="AI9" s="6"/>
      <c r="AK9" s="43"/>
      <c r="AL9" s="43"/>
      <c r="AM9" s="43"/>
      <c r="AN9" s="43"/>
      <c r="AO9" s="43"/>
      <c r="AP9" s="43"/>
      <c r="AQ9" s="43"/>
      <c r="AR9" s="43"/>
    </row>
    <row r="10" spans="1:44" ht="13.5" thickBot="1">
      <c r="A10" s="2" t="s">
        <v>18</v>
      </c>
      <c r="B10" s="8">
        <f t="shared" si="3"/>
        <v>0</v>
      </c>
      <c r="C10" s="65"/>
      <c r="D10" s="65"/>
      <c r="E10" s="65"/>
      <c r="F10" s="65"/>
      <c r="G10" s="65"/>
      <c r="H10" s="6"/>
      <c r="I10" s="6"/>
      <c r="J10" s="29"/>
      <c r="K10" s="65"/>
      <c r="L10" s="6"/>
      <c r="M10" s="29"/>
      <c r="N10" s="65"/>
      <c r="O10" s="65"/>
      <c r="P10" s="65"/>
      <c r="Q10" s="65"/>
      <c r="R10" s="65"/>
      <c r="S10" s="65"/>
      <c r="T10" s="65"/>
      <c r="U10" s="6"/>
      <c r="V10" s="29"/>
      <c r="W10" s="6"/>
      <c r="X10" s="6"/>
      <c r="Y10" s="36"/>
      <c r="Z10" s="6"/>
      <c r="AA10" s="6"/>
      <c r="AB10" s="6"/>
      <c r="AC10" s="6"/>
      <c r="AD10" s="6"/>
      <c r="AE10" s="6"/>
      <c r="AF10" s="6"/>
      <c r="AG10" s="6"/>
      <c r="AH10" s="29"/>
      <c r="AI10" s="6"/>
      <c r="AK10" s="43"/>
      <c r="AL10" s="43"/>
      <c r="AM10" s="43"/>
      <c r="AN10" s="43"/>
      <c r="AO10" s="43"/>
      <c r="AP10" s="43"/>
      <c r="AQ10" s="43"/>
      <c r="AR10" s="43"/>
    </row>
    <row r="11" spans="1:44" ht="13.5" thickBot="1">
      <c r="A11" s="2" t="s">
        <v>19</v>
      </c>
      <c r="B11" s="8">
        <f t="shared" si="3"/>
        <v>0</v>
      </c>
      <c r="C11" s="65"/>
      <c r="D11" s="65"/>
      <c r="E11" s="65"/>
      <c r="F11" s="65"/>
      <c r="G11" s="65"/>
      <c r="H11" s="6"/>
      <c r="I11" s="6"/>
      <c r="J11" s="29"/>
      <c r="K11" s="65"/>
      <c r="L11" s="6"/>
      <c r="M11" s="29"/>
      <c r="N11" s="65"/>
      <c r="O11" s="65"/>
      <c r="P11" s="65"/>
      <c r="Q11" s="65"/>
      <c r="R11" s="65"/>
      <c r="S11" s="65"/>
      <c r="T11" s="65"/>
      <c r="U11" s="6"/>
      <c r="V11" s="29"/>
      <c r="W11" s="6"/>
      <c r="X11" s="6"/>
      <c r="Y11" s="36"/>
      <c r="Z11" s="6"/>
      <c r="AA11" s="6"/>
      <c r="AB11" s="6"/>
      <c r="AC11" s="6"/>
      <c r="AD11" s="6"/>
      <c r="AE11" s="6"/>
      <c r="AF11" s="6"/>
      <c r="AG11" s="6"/>
      <c r="AH11" s="29"/>
      <c r="AI11" s="6"/>
      <c r="AK11" s="43"/>
      <c r="AL11" s="43"/>
      <c r="AM11" s="43"/>
      <c r="AN11" s="43"/>
      <c r="AO11" s="43"/>
      <c r="AP11" s="43"/>
      <c r="AQ11" s="43"/>
      <c r="AR11" s="43"/>
    </row>
    <row r="12" spans="1:44" ht="13.5" thickBot="1">
      <c r="A12" s="2" t="s">
        <v>20</v>
      </c>
      <c r="B12" s="8">
        <f t="shared" si="3"/>
        <v>0</v>
      </c>
      <c r="C12" s="65"/>
      <c r="D12" s="65"/>
      <c r="E12" s="65"/>
      <c r="F12" s="65"/>
      <c r="G12" s="65"/>
      <c r="H12" s="6"/>
      <c r="I12" s="6"/>
      <c r="J12" s="29"/>
      <c r="K12" s="65"/>
      <c r="L12" s="6"/>
      <c r="M12" s="29"/>
      <c r="N12" s="65"/>
      <c r="O12" s="65"/>
      <c r="P12" s="65"/>
      <c r="Q12" s="65"/>
      <c r="R12" s="65"/>
      <c r="S12" s="65"/>
      <c r="T12" s="65"/>
      <c r="U12" s="6"/>
      <c r="V12" s="29"/>
      <c r="W12" s="6"/>
      <c r="X12" s="6"/>
      <c r="Y12" s="36"/>
      <c r="Z12" s="6"/>
      <c r="AA12" s="6"/>
      <c r="AB12" s="6"/>
      <c r="AC12" s="6"/>
      <c r="AD12" s="6"/>
      <c r="AE12" s="6"/>
      <c r="AF12" s="6"/>
      <c r="AG12" s="6"/>
      <c r="AH12" s="29"/>
      <c r="AI12" s="6"/>
      <c r="AK12" s="43"/>
      <c r="AL12" s="43"/>
      <c r="AM12" s="43"/>
      <c r="AN12" s="43"/>
      <c r="AO12" s="43"/>
      <c r="AP12" s="43"/>
      <c r="AQ12" s="43"/>
      <c r="AR12" s="43"/>
    </row>
    <row r="13" spans="1:44" ht="13.5" thickBot="1">
      <c r="A13" s="2" t="s">
        <v>21</v>
      </c>
      <c r="B13" s="8">
        <f t="shared" si="3"/>
        <v>0</v>
      </c>
      <c r="C13" s="65"/>
      <c r="D13" s="65"/>
      <c r="E13" s="65"/>
      <c r="F13" s="65"/>
      <c r="G13" s="65"/>
      <c r="H13" s="6"/>
      <c r="I13" s="6"/>
      <c r="J13" s="29"/>
      <c r="K13" s="65"/>
      <c r="L13" s="6"/>
      <c r="M13" s="29"/>
      <c r="N13" s="65"/>
      <c r="O13" s="65"/>
      <c r="P13" s="65"/>
      <c r="Q13" s="65"/>
      <c r="R13" s="65"/>
      <c r="S13" s="65"/>
      <c r="T13" s="65"/>
      <c r="U13" s="6"/>
      <c r="V13" s="29"/>
      <c r="W13" s="6"/>
      <c r="X13" s="6"/>
      <c r="Y13" s="36"/>
      <c r="Z13" s="6"/>
      <c r="AA13" s="6"/>
      <c r="AB13" s="6"/>
      <c r="AC13" s="6"/>
      <c r="AD13" s="6"/>
      <c r="AE13" s="6"/>
      <c r="AF13" s="6"/>
      <c r="AG13" s="6"/>
      <c r="AH13" s="29"/>
      <c r="AI13" s="6"/>
      <c r="AK13" s="43"/>
      <c r="AL13" s="43"/>
      <c r="AM13" s="43"/>
      <c r="AN13" s="43"/>
      <c r="AO13" s="43"/>
      <c r="AP13" s="43"/>
      <c r="AQ13" s="43"/>
      <c r="AR13" s="43"/>
    </row>
    <row r="14" spans="1:44" ht="13.5" thickBot="1">
      <c r="A14" s="2" t="s">
        <v>22</v>
      </c>
      <c r="B14" s="8">
        <f t="shared" si="3"/>
        <v>0</v>
      </c>
      <c r="C14" s="65"/>
      <c r="D14" s="65"/>
      <c r="E14" s="65"/>
      <c r="F14" s="65"/>
      <c r="G14" s="65"/>
      <c r="H14" s="6"/>
      <c r="I14" s="6"/>
      <c r="J14" s="29"/>
      <c r="K14" s="65"/>
      <c r="L14" s="6"/>
      <c r="M14" s="29"/>
      <c r="N14" s="65"/>
      <c r="O14" s="65"/>
      <c r="P14" s="65"/>
      <c r="Q14" s="65"/>
      <c r="R14" s="65"/>
      <c r="S14" s="65"/>
      <c r="T14" s="65"/>
      <c r="U14" s="6"/>
      <c r="V14" s="29"/>
      <c r="W14" s="6"/>
      <c r="X14" s="6"/>
      <c r="Y14" s="36"/>
      <c r="Z14" s="6"/>
      <c r="AA14" s="6"/>
      <c r="AB14" s="6"/>
      <c r="AC14" s="6"/>
      <c r="AD14" s="6"/>
      <c r="AE14" s="6"/>
      <c r="AF14" s="6"/>
      <c r="AG14" s="6"/>
      <c r="AH14" s="29"/>
      <c r="AI14" s="6"/>
      <c r="AK14" s="43"/>
      <c r="AL14" s="43"/>
      <c r="AM14" s="43"/>
      <c r="AN14" s="43"/>
      <c r="AO14" s="43"/>
      <c r="AP14" s="43"/>
      <c r="AQ14" s="43"/>
      <c r="AR14" s="43"/>
    </row>
    <row r="15" spans="1:44" ht="13.5" thickBot="1">
      <c r="A15" s="2" t="s">
        <v>23</v>
      </c>
      <c r="B15" s="8">
        <f t="shared" si="3"/>
        <v>26.25</v>
      </c>
      <c r="C15" s="65">
        <v>4.5</v>
      </c>
      <c r="D15" s="65"/>
      <c r="E15" s="65"/>
      <c r="F15" s="65"/>
      <c r="G15" s="65"/>
      <c r="H15" s="6"/>
      <c r="I15" s="6"/>
      <c r="J15" s="29"/>
      <c r="K15" s="65"/>
      <c r="L15" s="6"/>
      <c r="M15" s="29"/>
      <c r="N15" s="65"/>
      <c r="O15" s="65">
        <v>4</v>
      </c>
      <c r="P15" s="65">
        <v>6.25</v>
      </c>
      <c r="Q15" s="65">
        <v>11.5</v>
      </c>
      <c r="R15" s="65"/>
      <c r="S15" s="65"/>
      <c r="T15" s="65"/>
      <c r="U15" s="6"/>
      <c r="V15" s="29"/>
      <c r="W15" s="6"/>
      <c r="X15" s="6"/>
      <c r="Y15" s="36"/>
      <c r="Z15" s="6"/>
      <c r="AA15" s="6"/>
      <c r="AB15" s="6"/>
      <c r="AC15" s="6"/>
      <c r="AD15" s="6"/>
      <c r="AE15" s="6"/>
      <c r="AF15" s="6"/>
      <c r="AG15" s="6"/>
      <c r="AH15" s="29"/>
      <c r="AI15" s="6"/>
      <c r="AK15" s="43"/>
      <c r="AL15" s="43"/>
      <c r="AM15" s="43"/>
      <c r="AN15" s="43"/>
      <c r="AO15" s="43"/>
      <c r="AP15" s="43"/>
      <c r="AQ15" s="43"/>
      <c r="AR15" s="43"/>
    </row>
    <row r="16" spans="1:44" ht="13.5" thickBot="1">
      <c r="A16" s="2" t="s">
        <v>24</v>
      </c>
      <c r="B16" s="8">
        <f t="shared" si="3"/>
        <v>3</v>
      </c>
      <c r="C16" s="65"/>
      <c r="D16" s="65"/>
      <c r="E16" s="65"/>
      <c r="F16" s="65"/>
      <c r="G16" s="65"/>
      <c r="H16" s="6"/>
      <c r="I16" s="6"/>
      <c r="J16" s="29"/>
      <c r="K16" s="65"/>
      <c r="L16" s="6"/>
      <c r="M16" s="29"/>
      <c r="N16" s="65">
        <v>3</v>
      </c>
      <c r="O16" s="65"/>
      <c r="P16" s="65"/>
      <c r="Q16" s="65"/>
      <c r="R16" s="65"/>
      <c r="S16" s="65"/>
      <c r="T16" s="65"/>
      <c r="U16" s="6"/>
      <c r="V16" s="29"/>
      <c r="W16" s="6"/>
      <c r="X16" s="6"/>
      <c r="Y16" s="36"/>
      <c r="Z16" s="6"/>
      <c r="AA16" s="6"/>
      <c r="AB16" s="6"/>
      <c r="AC16" s="6"/>
      <c r="AD16" s="6"/>
      <c r="AE16" s="6"/>
      <c r="AF16" s="6"/>
      <c r="AG16" s="6"/>
      <c r="AH16" s="29"/>
      <c r="AI16" s="6"/>
      <c r="AK16" s="43"/>
      <c r="AL16" s="43"/>
      <c r="AM16" s="43"/>
      <c r="AN16" s="43"/>
      <c r="AO16" s="43"/>
      <c r="AP16" s="43"/>
      <c r="AQ16" s="43"/>
      <c r="AR16" s="43"/>
    </row>
    <row r="17" spans="1:44" ht="13.5" thickBot="1">
      <c r="A17" s="2" t="s">
        <v>54</v>
      </c>
      <c r="B17" s="8">
        <f t="shared" si="3"/>
        <v>101.05</v>
      </c>
      <c r="C17" s="65">
        <v>27.3</v>
      </c>
      <c r="D17" s="65"/>
      <c r="E17" s="65">
        <v>50</v>
      </c>
      <c r="F17" s="65"/>
      <c r="G17" s="65"/>
      <c r="H17" s="6"/>
      <c r="I17" s="6"/>
      <c r="J17" s="29"/>
      <c r="K17" s="65"/>
      <c r="L17" s="6"/>
      <c r="M17" s="29"/>
      <c r="N17" s="65"/>
      <c r="O17" s="65"/>
      <c r="P17" s="65">
        <v>23.75</v>
      </c>
      <c r="Q17" s="65"/>
      <c r="R17" s="65"/>
      <c r="S17" s="65"/>
      <c r="T17" s="65"/>
      <c r="U17" s="6"/>
      <c r="V17" s="29"/>
      <c r="W17" s="6"/>
      <c r="X17" s="6"/>
      <c r="Y17" s="36"/>
      <c r="Z17" s="6"/>
      <c r="AA17" s="6"/>
      <c r="AB17" s="6"/>
      <c r="AC17" s="6"/>
      <c r="AD17" s="6"/>
      <c r="AE17" s="6"/>
      <c r="AF17" s="6"/>
      <c r="AG17" s="6"/>
      <c r="AH17" s="29"/>
      <c r="AI17" s="6"/>
      <c r="AK17" s="43"/>
      <c r="AL17" s="43"/>
      <c r="AM17" s="43"/>
      <c r="AN17" s="43"/>
      <c r="AO17" s="43"/>
      <c r="AP17" s="43"/>
      <c r="AQ17" s="43"/>
      <c r="AR17" s="43"/>
    </row>
    <row r="18" spans="1:44" ht="13.5" thickBot="1">
      <c r="A18" s="2" t="s">
        <v>25</v>
      </c>
      <c r="B18" s="8">
        <f t="shared" si="3"/>
        <v>8</v>
      </c>
      <c r="C18" s="65"/>
      <c r="D18" s="65"/>
      <c r="E18" s="65"/>
      <c r="F18" s="65"/>
      <c r="G18" s="65"/>
      <c r="H18" s="6"/>
      <c r="I18" s="6"/>
      <c r="J18" s="29"/>
      <c r="K18" s="65"/>
      <c r="L18" s="6"/>
      <c r="M18" s="29"/>
      <c r="N18" s="65"/>
      <c r="O18" s="65">
        <v>8</v>
      </c>
      <c r="P18" s="65"/>
      <c r="Q18" s="65"/>
      <c r="R18" s="65"/>
      <c r="S18" s="65"/>
      <c r="T18" s="65"/>
      <c r="U18" s="6"/>
      <c r="V18" s="29"/>
      <c r="W18" s="6"/>
      <c r="X18" s="6"/>
      <c r="Y18" s="36"/>
      <c r="Z18" s="6"/>
      <c r="AA18" s="6"/>
      <c r="AB18" s="6"/>
      <c r="AC18" s="6"/>
      <c r="AD18" s="6"/>
      <c r="AE18" s="6"/>
      <c r="AF18" s="6"/>
      <c r="AG18" s="6"/>
      <c r="AH18" s="29"/>
      <c r="AI18" s="6"/>
      <c r="AK18" s="43"/>
      <c r="AL18" s="43"/>
      <c r="AM18" s="43"/>
      <c r="AN18" s="43"/>
      <c r="AO18" s="43"/>
      <c r="AP18" s="43"/>
      <c r="AQ18" s="43"/>
      <c r="AR18" s="43"/>
    </row>
    <row r="19" spans="1:44" ht="13.5" thickBot="1">
      <c r="A19" s="2" t="s">
        <v>26</v>
      </c>
      <c r="B19" s="8">
        <f t="shared" si="3"/>
        <v>0</v>
      </c>
      <c r="C19" s="65"/>
      <c r="D19" s="65"/>
      <c r="E19" s="65"/>
      <c r="F19" s="65"/>
      <c r="G19" s="65"/>
      <c r="H19" s="6"/>
      <c r="I19" s="6"/>
      <c r="J19" s="29"/>
      <c r="K19" s="65"/>
      <c r="L19" s="6"/>
      <c r="M19" s="29"/>
      <c r="N19" s="65"/>
      <c r="O19" s="65"/>
      <c r="P19" s="65"/>
      <c r="Q19" s="65"/>
      <c r="R19" s="65"/>
      <c r="S19" s="65"/>
      <c r="T19" s="65"/>
      <c r="U19" s="6"/>
      <c r="V19" s="29"/>
      <c r="W19" s="6"/>
      <c r="X19" s="6"/>
      <c r="Y19" s="36"/>
      <c r="Z19" s="6"/>
      <c r="AA19" s="6"/>
      <c r="AB19" s="6"/>
      <c r="AC19" s="6"/>
      <c r="AD19" s="6"/>
      <c r="AE19" s="6"/>
      <c r="AF19" s="6"/>
      <c r="AG19" s="6"/>
      <c r="AH19" s="29"/>
      <c r="AI19" s="6"/>
      <c r="AK19" s="43"/>
      <c r="AL19" s="43"/>
      <c r="AM19" s="43"/>
      <c r="AN19" s="43"/>
      <c r="AO19" s="43"/>
      <c r="AP19" s="43"/>
      <c r="AQ19" s="43"/>
      <c r="AR19" s="43"/>
    </row>
    <row r="20" spans="1:44" ht="13.5" thickBot="1">
      <c r="A20" s="2" t="s">
        <v>27</v>
      </c>
      <c r="B20" s="8">
        <f t="shared" si="3"/>
        <v>13.2</v>
      </c>
      <c r="C20" s="65"/>
      <c r="D20" s="65">
        <v>13.2</v>
      </c>
      <c r="E20" s="65"/>
      <c r="F20" s="65"/>
      <c r="G20" s="65"/>
      <c r="H20" s="6"/>
      <c r="I20" s="6"/>
      <c r="J20" s="29"/>
      <c r="K20" s="65"/>
      <c r="L20" s="6"/>
      <c r="M20" s="29"/>
      <c r="N20" s="65"/>
      <c r="O20" s="65"/>
      <c r="P20" s="65"/>
      <c r="Q20" s="65"/>
      <c r="R20" s="65"/>
      <c r="S20" s="65"/>
      <c r="T20" s="65"/>
      <c r="U20" s="6"/>
      <c r="V20" s="29"/>
      <c r="W20" s="6"/>
      <c r="X20" s="6"/>
      <c r="Y20" s="36"/>
      <c r="Z20" s="6"/>
      <c r="AA20" s="6"/>
      <c r="AB20" s="6"/>
      <c r="AC20" s="6"/>
      <c r="AD20" s="6"/>
      <c r="AE20" s="6"/>
      <c r="AF20" s="6"/>
      <c r="AG20" s="6"/>
      <c r="AH20" s="29"/>
      <c r="AI20" s="6"/>
      <c r="AK20" s="43"/>
      <c r="AL20" s="43"/>
      <c r="AM20" s="43"/>
      <c r="AN20" s="43"/>
      <c r="AO20" s="43"/>
      <c r="AP20" s="43"/>
      <c r="AQ20" s="43"/>
      <c r="AR20" s="43"/>
    </row>
    <row r="21" spans="1:44" ht="13.5" thickBot="1">
      <c r="A21" s="2" t="s">
        <v>14</v>
      </c>
      <c r="B21" s="8">
        <f>C21+D21+E21+F21+G21+H21+I21+J21+K21+L21+M21+N21+O21+P21+Q21+R21+S21+T21+U21+V21+W21+X21+Y21+Z21+AA21+AB21+AC21+AD21+AE21+AF21+AG21+AH21+AI21</f>
        <v>85.5</v>
      </c>
      <c r="C21" s="65">
        <v>85.5</v>
      </c>
      <c r="D21" s="65"/>
      <c r="E21" s="65"/>
      <c r="F21" s="65"/>
      <c r="G21" s="65"/>
      <c r="H21" s="6"/>
      <c r="I21" s="6"/>
      <c r="J21" s="29"/>
      <c r="K21" s="65"/>
      <c r="L21" s="6"/>
      <c r="M21" s="29"/>
      <c r="N21" s="65"/>
      <c r="O21" s="65"/>
      <c r="P21" s="65"/>
      <c r="Q21" s="65"/>
      <c r="R21" s="65"/>
      <c r="S21" s="65"/>
      <c r="T21" s="65"/>
      <c r="U21" s="6"/>
      <c r="V21" s="29"/>
      <c r="W21" s="6"/>
      <c r="X21" s="6"/>
      <c r="Y21" s="36"/>
      <c r="Z21" s="6"/>
      <c r="AA21" s="6"/>
      <c r="AB21" s="6"/>
      <c r="AC21" s="6"/>
      <c r="AD21" s="6"/>
      <c r="AE21" s="6"/>
      <c r="AF21" s="6"/>
      <c r="AG21" s="6"/>
      <c r="AH21" s="29"/>
      <c r="AI21" s="6"/>
      <c r="AK21" s="43"/>
      <c r="AL21" s="43"/>
      <c r="AM21" s="43"/>
      <c r="AN21" s="43"/>
      <c r="AO21" s="43"/>
      <c r="AP21" s="43"/>
      <c r="AQ21" s="43"/>
      <c r="AR21" s="43"/>
    </row>
    <row r="22" spans="1:44" ht="13.5" thickBot="1">
      <c r="A22" s="2" t="s">
        <v>28</v>
      </c>
      <c r="B22" s="8">
        <f t="shared" ref="B22:B50" si="4">C22+D22+E22+F22+G22+H22+I22+J22+K22+L22+M22+N22+O22+P22+Q22+R22+S22+T22+U22+V22+W22+X22+Y22+Z22+AA22+AB22+AC22+AD22+AE22+AG22+AH22+AI22</f>
        <v>0</v>
      </c>
      <c r="C22" s="65"/>
      <c r="D22" s="65"/>
      <c r="E22" s="65"/>
      <c r="F22" s="65"/>
      <c r="G22" s="65"/>
      <c r="H22" s="6"/>
      <c r="I22" s="6"/>
      <c r="J22" s="29"/>
      <c r="K22" s="65"/>
      <c r="L22" s="6"/>
      <c r="M22" s="29"/>
      <c r="N22" s="65"/>
      <c r="O22" s="65"/>
      <c r="P22" s="65"/>
      <c r="Q22" s="65"/>
      <c r="R22" s="65"/>
      <c r="S22" s="65"/>
      <c r="T22" s="65"/>
      <c r="U22" s="6"/>
      <c r="V22" s="29"/>
      <c r="W22" s="6"/>
      <c r="X22" s="6"/>
      <c r="Y22" s="36"/>
      <c r="Z22" s="6"/>
      <c r="AA22" s="6"/>
      <c r="AB22" s="6"/>
      <c r="AC22" s="6"/>
      <c r="AD22" s="6"/>
      <c r="AE22" s="6"/>
      <c r="AF22" s="6"/>
      <c r="AG22" s="6"/>
      <c r="AH22" s="29"/>
      <c r="AI22" s="6"/>
      <c r="AK22" s="43"/>
      <c r="AL22" s="43"/>
      <c r="AM22" s="43"/>
      <c r="AN22" s="43"/>
      <c r="AO22" s="43"/>
      <c r="AP22" s="43"/>
      <c r="AQ22" s="43"/>
      <c r="AR22" s="43"/>
    </row>
    <row r="23" spans="1:44" ht="13.5" thickBot="1">
      <c r="A23" s="2" t="s">
        <v>29</v>
      </c>
      <c r="B23" s="8">
        <f t="shared" si="4"/>
        <v>0</v>
      </c>
      <c r="C23" s="65"/>
      <c r="D23" s="65"/>
      <c r="E23" s="65"/>
      <c r="F23" s="65"/>
      <c r="G23" s="65"/>
      <c r="H23" s="6"/>
      <c r="I23" s="6"/>
      <c r="J23" s="29"/>
      <c r="K23" s="65"/>
      <c r="L23" s="6"/>
      <c r="M23" s="29"/>
      <c r="N23" s="65"/>
      <c r="O23" s="65"/>
      <c r="P23" s="65"/>
      <c r="Q23" s="65"/>
      <c r="R23" s="65"/>
      <c r="S23" s="65"/>
      <c r="T23" s="65"/>
      <c r="U23" s="6"/>
      <c r="V23" s="29"/>
      <c r="W23" s="6"/>
      <c r="X23" s="6"/>
      <c r="Y23" s="36"/>
      <c r="Z23" s="6"/>
      <c r="AA23" s="6"/>
      <c r="AB23" s="6"/>
      <c r="AC23" s="6"/>
      <c r="AD23" s="6"/>
      <c r="AE23" s="6"/>
      <c r="AF23" s="6"/>
      <c r="AG23" s="6"/>
      <c r="AH23" s="29"/>
      <c r="AI23" s="6"/>
      <c r="AK23" s="43"/>
      <c r="AL23" s="43"/>
      <c r="AM23" s="43"/>
      <c r="AN23" s="43"/>
      <c r="AO23" s="43"/>
      <c r="AP23" s="43"/>
      <c r="AQ23" s="43"/>
      <c r="AR23" s="43"/>
    </row>
    <row r="24" spans="1:44" ht="13.5" thickBot="1">
      <c r="A24" s="2" t="s">
        <v>30</v>
      </c>
      <c r="B24" s="8">
        <f t="shared" si="4"/>
        <v>0</v>
      </c>
      <c r="C24" s="65"/>
      <c r="D24" s="65"/>
      <c r="E24" s="65"/>
      <c r="F24" s="65"/>
      <c r="G24" s="65"/>
      <c r="H24" s="6"/>
      <c r="I24" s="6"/>
      <c r="J24" s="29"/>
      <c r="K24" s="65"/>
      <c r="L24" s="6"/>
      <c r="M24" s="29"/>
      <c r="N24" s="65"/>
      <c r="O24" s="65"/>
      <c r="P24" s="65"/>
      <c r="Q24" s="65"/>
      <c r="R24" s="65"/>
      <c r="S24" s="65"/>
      <c r="T24" s="65"/>
      <c r="U24" s="6"/>
      <c r="V24" s="29"/>
      <c r="W24" s="6"/>
      <c r="X24" s="6"/>
      <c r="Y24" s="36"/>
      <c r="Z24" s="6"/>
      <c r="AA24" s="6"/>
      <c r="AB24" s="6"/>
      <c r="AC24" s="6"/>
      <c r="AD24" s="6"/>
      <c r="AE24" s="6"/>
      <c r="AF24" s="6"/>
      <c r="AG24" s="6"/>
      <c r="AH24" s="29"/>
      <c r="AI24" s="6"/>
      <c r="AK24" s="43"/>
      <c r="AL24" s="43"/>
      <c r="AM24" s="43"/>
      <c r="AN24" s="43"/>
      <c r="AO24" s="43"/>
      <c r="AP24" s="43"/>
      <c r="AQ24" s="43"/>
      <c r="AR24" s="43"/>
    </row>
    <row r="25" spans="1:44" ht="13.5" thickBot="1">
      <c r="A25" s="2" t="s">
        <v>31</v>
      </c>
      <c r="B25" s="8">
        <f t="shared" si="4"/>
        <v>0</v>
      </c>
      <c r="C25" s="65"/>
      <c r="D25" s="65"/>
      <c r="E25" s="65"/>
      <c r="F25" s="65"/>
      <c r="G25" s="65"/>
      <c r="H25" s="6"/>
      <c r="I25" s="6"/>
      <c r="J25" s="29"/>
      <c r="K25" s="65"/>
      <c r="L25" s="6"/>
      <c r="M25" s="29"/>
      <c r="N25" s="65"/>
      <c r="O25" s="65"/>
      <c r="P25" s="65"/>
      <c r="Q25" s="65"/>
      <c r="R25" s="65"/>
      <c r="S25" s="65"/>
      <c r="T25" s="65"/>
      <c r="U25" s="6"/>
      <c r="V25" s="29"/>
      <c r="W25" s="6"/>
      <c r="X25" s="6"/>
      <c r="Y25" s="36"/>
      <c r="Z25" s="6"/>
      <c r="AA25" s="6"/>
      <c r="AB25" s="6"/>
      <c r="AC25" s="6"/>
      <c r="AD25" s="6"/>
      <c r="AE25" s="6"/>
      <c r="AF25" s="6"/>
      <c r="AG25" s="6"/>
      <c r="AH25" s="29"/>
      <c r="AI25" s="6"/>
      <c r="AK25" s="43"/>
      <c r="AL25" s="43"/>
      <c r="AM25" s="43"/>
      <c r="AN25" s="43"/>
      <c r="AO25" s="43"/>
      <c r="AP25" s="43"/>
      <c r="AQ25" s="43"/>
      <c r="AR25" s="43"/>
    </row>
    <row r="26" spans="1:44" ht="13.5" thickBot="1">
      <c r="A26" s="2" t="s">
        <v>32</v>
      </c>
      <c r="B26" s="8">
        <f t="shared" si="4"/>
        <v>0</v>
      </c>
      <c r="C26" s="65"/>
      <c r="D26" s="65"/>
      <c r="E26" s="65"/>
      <c r="F26" s="65"/>
      <c r="G26" s="65"/>
      <c r="H26" s="6"/>
      <c r="I26" s="6"/>
      <c r="J26" s="29"/>
      <c r="K26" s="65"/>
      <c r="L26" s="6"/>
      <c r="M26" s="29"/>
      <c r="N26" s="65"/>
      <c r="O26" s="65"/>
      <c r="P26" s="65"/>
      <c r="Q26" s="65"/>
      <c r="R26" s="65"/>
      <c r="S26" s="65"/>
      <c r="T26" s="65"/>
      <c r="U26" s="6"/>
      <c r="V26" s="29"/>
      <c r="W26" s="6"/>
      <c r="X26" s="6"/>
      <c r="Y26" s="36"/>
      <c r="Z26" s="6"/>
      <c r="AA26" s="6"/>
      <c r="AB26" s="6"/>
      <c r="AC26" s="6"/>
      <c r="AD26" s="6"/>
      <c r="AE26" s="6"/>
      <c r="AF26" s="6"/>
      <c r="AG26" s="6"/>
      <c r="AH26" s="29"/>
      <c r="AI26" s="6"/>
      <c r="AK26" s="43"/>
      <c r="AL26" s="43"/>
      <c r="AM26" s="43"/>
      <c r="AN26" s="43"/>
      <c r="AO26" s="43"/>
      <c r="AP26" s="43"/>
      <c r="AQ26" s="43"/>
      <c r="AR26" s="43"/>
    </row>
    <row r="27" spans="1:44" ht="13.5" thickBot="1">
      <c r="A27" s="2" t="s">
        <v>33</v>
      </c>
      <c r="B27" s="8">
        <f t="shared" si="4"/>
        <v>0</v>
      </c>
      <c r="C27" s="65"/>
      <c r="D27" s="65"/>
      <c r="E27" s="65"/>
      <c r="F27" s="65"/>
      <c r="G27" s="65"/>
      <c r="H27" s="6"/>
      <c r="I27" s="6"/>
      <c r="J27" s="29"/>
      <c r="K27" s="65"/>
      <c r="L27" s="6"/>
      <c r="M27" s="29"/>
      <c r="N27" s="65"/>
      <c r="O27" s="65"/>
      <c r="P27" s="65"/>
      <c r="Q27" s="65"/>
      <c r="R27" s="65"/>
      <c r="S27" s="65"/>
      <c r="T27" s="65"/>
      <c r="U27" s="6"/>
      <c r="V27" s="29"/>
      <c r="W27" s="6"/>
      <c r="X27" s="6"/>
      <c r="Y27" s="36"/>
      <c r="Z27" s="6"/>
      <c r="AA27" s="6"/>
      <c r="AB27" s="6"/>
      <c r="AC27" s="6"/>
      <c r="AD27" s="6"/>
      <c r="AE27" s="6"/>
      <c r="AF27" s="6"/>
      <c r="AG27" s="6"/>
      <c r="AH27" s="29"/>
      <c r="AI27" s="6"/>
      <c r="AK27" s="43"/>
      <c r="AL27" s="43"/>
      <c r="AM27" s="43"/>
      <c r="AN27" s="43"/>
      <c r="AO27" s="43"/>
      <c r="AP27" s="43"/>
      <c r="AQ27" s="43"/>
      <c r="AR27" s="43"/>
    </row>
    <row r="28" spans="1:44" ht="13.5" thickBot="1">
      <c r="A28" s="2" t="s">
        <v>34</v>
      </c>
      <c r="B28" s="8">
        <f t="shared" si="4"/>
        <v>0</v>
      </c>
      <c r="C28" s="65"/>
      <c r="D28" s="65"/>
      <c r="E28" s="65"/>
      <c r="F28" s="65"/>
      <c r="G28" s="65"/>
      <c r="H28" s="6"/>
      <c r="I28" s="6"/>
      <c r="J28" s="29"/>
      <c r="K28" s="65"/>
      <c r="L28" s="6"/>
      <c r="M28" s="29"/>
      <c r="N28" s="65"/>
      <c r="O28" s="65"/>
      <c r="P28" s="65"/>
      <c r="Q28" s="65"/>
      <c r="R28" s="65"/>
      <c r="S28" s="65"/>
      <c r="T28" s="65"/>
      <c r="U28" s="6"/>
      <c r="V28" s="29"/>
      <c r="W28" s="6"/>
      <c r="X28" s="6"/>
      <c r="Y28" s="36"/>
      <c r="Z28" s="6"/>
      <c r="AA28" s="6"/>
      <c r="AB28" s="6"/>
      <c r="AC28" s="6"/>
      <c r="AD28" s="6"/>
      <c r="AE28" s="6"/>
      <c r="AF28" s="6"/>
      <c r="AG28" s="6"/>
      <c r="AH28" s="29"/>
      <c r="AI28" s="6"/>
      <c r="AK28" s="43"/>
      <c r="AL28" s="43"/>
      <c r="AM28" s="43"/>
      <c r="AN28" s="43"/>
      <c r="AO28" s="43"/>
      <c r="AP28" s="43"/>
      <c r="AQ28" s="43"/>
      <c r="AR28" s="43"/>
    </row>
    <row r="29" spans="1:44" ht="13.5" thickBot="1">
      <c r="A29" s="2" t="s">
        <v>35</v>
      </c>
      <c r="B29" s="8">
        <f t="shared" si="4"/>
        <v>0</v>
      </c>
      <c r="C29" s="65"/>
      <c r="D29" s="65"/>
      <c r="E29" s="65"/>
      <c r="F29" s="65"/>
      <c r="G29" s="65"/>
      <c r="H29" s="6"/>
      <c r="I29" s="6"/>
      <c r="J29" s="29"/>
      <c r="K29" s="65"/>
      <c r="L29" s="6"/>
      <c r="M29" s="29"/>
      <c r="N29" s="65"/>
      <c r="O29" s="65"/>
      <c r="P29" s="65"/>
      <c r="Q29" s="65"/>
      <c r="R29" s="65"/>
      <c r="S29" s="65"/>
      <c r="T29" s="65"/>
      <c r="U29" s="6"/>
      <c r="V29" s="29"/>
      <c r="W29" s="6"/>
      <c r="X29" s="6"/>
      <c r="Y29" s="36"/>
      <c r="Z29" s="6"/>
      <c r="AA29" s="6"/>
      <c r="AB29" s="6"/>
      <c r="AC29" s="6"/>
      <c r="AD29" s="6"/>
      <c r="AE29" s="6"/>
      <c r="AF29" s="6"/>
      <c r="AG29" s="6"/>
      <c r="AH29" s="29"/>
      <c r="AI29" s="6"/>
      <c r="AK29" s="43"/>
      <c r="AL29" s="43"/>
      <c r="AM29" s="43"/>
      <c r="AN29" s="43"/>
      <c r="AO29" s="43"/>
      <c r="AP29" s="43"/>
      <c r="AQ29" s="43"/>
      <c r="AR29" s="43"/>
    </row>
    <row r="30" spans="1:44" ht="13.5" thickBot="1">
      <c r="A30" s="2" t="s">
        <v>36</v>
      </c>
      <c r="B30" s="8">
        <f t="shared" si="4"/>
        <v>0</v>
      </c>
      <c r="C30" s="65"/>
      <c r="D30" s="65"/>
      <c r="E30" s="65"/>
      <c r="F30" s="65"/>
      <c r="G30" s="65"/>
      <c r="H30" s="6"/>
      <c r="I30" s="6"/>
      <c r="J30" s="29"/>
      <c r="K30" s="65"/>
      <c r="L30" s="6"/>
      <c r="M30" s="29"/>
      <c r="N30" s="65"/>
      <c r="O30" s="65"/>
      <c r="P30" s="65"/>
      <c r="Q30" s="65"/>
      <c r="R30" s="65"/>
      <c r="S30" s="65"/>
      <c r="T30" s="65"/>
      <c r="U30" s="6"/>
      <c r="V30" s="29"/>
      <c r="W30" s="6"/>
      <c r="X30" s="6"/>
      <c r="Y30" s="36"/>
      <c r="Z30" s="6"/>
      <c r="AA30" s="6"/>
      <c r="AB30" s="6"/>
      <c r="AC30" s="6"/>
      <c r="AD30" s="6"/>
      <c r="AE30" s="6"/>
      <c r="AF30" s="6"/>
      <c r="AG30" s="6"/>
      <c r="AH30" s="29"/>
      <c r="AI30" s="6"/>
      <c r="AK30" s="43"/>
      <c r="AL30" s="43"/>
      <c r="AM30" s="43"/>
      <c r="AN30" s="43"/>
      <c r="AO30" s="43"/>
      <c r="AP30" s="43"/>
      <c r="AQ30" s="43"/>
      <c r="AR30" s="43"/>
    </row>
    <row r="31" spans="1:44" ht="13.5" thickBot="1">
      <c r="A31" s="2" t="s">
        <v>37</v>
      </c>
      <c r="B31" s="8">
        <f t="shared" si="4"/>
        <v>0</v>
      </c>
      <c r="C31" s="65"/>
      <c r="D31" s="65"/>
      <c r="E31" s="65"/>
      <c r="F31" s="65"/>
      <c r="G31" s="65"/>
      <c r="H31" s="6"/>
      <c r="I31" s="6"/>
      <c r="J31" s="29"/>
      <c r="K31" s="65"/>
      <c r="L31" s="6"/>
      <c r="M31" s="29"/>
      <c r="N31" s="65"/>
      <c r="O31" s="65"/>
      <c r="P31" s="65"/>
      <c r="Q31" s="65"/>
      <c r="R31" s="65"/>
      <c r="S31" s="65"/>
      <c r="T31" s="65"/>
      <c r="U31" s="6"/>
      <c r="V31" s="29"/>
      <c r="W31" s="6"/>
      <c r="X31" s="6"/>
      <c r="Y31" s="36"/>
      <c r="Z31" s="6"/>
      <c r="AA31" s="6"/>
      <c r="AB31" s="6"/>
      <c r="AC31" s="6"/>
      <c r="AD31" s="6"/>
      <c r="AE31" s="6"/>
      <c r="AF31" s="6"/>
      <c r="AG31" s="6"/>
      <c r="AH31" s="29"/>
      <c r="AI31" s="6"/>
      <c r="AK31" s="43"/>
      <c r="AL31" s="43"/>
      <c r="AM31" s="43"/>
      <c r="AN31" s="43"/>
      <c r="AO31" s="43"/>
      <c r="AP31" s="43"/>
      <c r="AQ31" s="43"/>
      <c r="AR31" s="43"/>
    </row>
    <row r="32" spans="1:44" ht="13.5" thickBot="1">
      <c r="A32" s="2" t="s">
        <v>38</v>
      </c>
      <c r="B32" s="8">
        <f t="shared" si="4"/>
        <v>40.4</v>
      </c>
      <c r="C32" s="65"/>
      <c r="D32" s="65"/>
      <c r="E32" s="65">
        <v>20</v>
      </c>
      <c r="F32" s="65"/>
      <c r="G32" s="65"/>
      <c r="H32" s="6"/>
      <c r="I32" s="6"/>
      <c r="J32" s="29"/>
      <c r="K32" s="65"/>
      <c r="L32" s="6"/>
      <c r="M32" s="29"/>
      <c r="N32" s="65">
        <v>3</v>
      </c>
      <c r="O32" s="65">
        <v>2.4</v>
      </c>
      <c r="P32" s="65"/>
      <c r="Q32" s="65"/>
      <c r="R32" s="65">
        <v>15</v>
      </c>
      <c r="S32" s="65"/>
      <c r="T32" s="65"/>
      <c r="U32" s="6"/>
      <c r="V32" s="29"/>
      <c r="W32" s="6"/>
      <c r="X32" s="6"/>
      <c r="Y32" s="36"/>
      <c r="Z32" s="6"/>
      <c r="AA32" s="6"/>
      <c r="AB32" s="6"/>
      <c r="AC32" s="6"/>
      <c r="AD32" s="6"/>
      <c r="AE32" s="6"/>
      <c r="AF32" s="6"/>
      <c r="AG32" s="6"/>
      <c r="AH32" s="29"/>
      <c r="AI32" s="6"/>
      <c r="AK32" s="43"/>
      <c r="AL32" s="43"/>
      <c r="AM32" s="43"/>
      <c r="AN32" s="43"/>
      <c r="AO32" s="43"/>
      <c r="AP32" s="43"/>
      <c r="AQ32" s="43"/>
      <c r="AR32" s="43"/>
    </row>
    <row r="33" spans="1:44" ht="13.5" thickBot="1">
      <c r="A33" s="2" t="s">
        <v>39</v>
      </c>
      <c r="B33" s="8">
        <f t="shared" si="4"/>
        <v>0</v>
      </c>
      <c r="C33" s="65"/>
      <c r="D33" s="65"/>
      <c r="E33" s="65"/>
      <c r="F33" s="65"/>
      <c r="G33" s="65"/>
      <c r="H33" s="6"/>
      <c r="I33" s="6"/>
      <c r="J33" s="29"/>
      <c r="K33" s="65"/>
      <c r="L33" s="6"/>
      <c r="M33" s="29"/>
      <c r="N33" s="65"/>
      <c r="O33" s="65"/>
      <c r="P33" s="65"/>
      <c r="Q33" s="65"/>
      <c r="R33" s="65"/>
      <c r="S33" s="65"/>
      <c r="T33" s="65"/>
      <c r="U33" s="6"/>
      <c r="V33" s="29"/>
      <c r="W33" s="6"/>
      <c r="X33" s="6"/>
      <c r="Y33" s="36"/>
      <c r="Z33" s="6"/>
      <c r="AA33" s="6"/>
      <c r="AB33" s="6"/>
      <c r="AC33" s="6"/>
      <c r="AD33" s="6"/>
      <c r="AE33" s="6"/>
      <c r="AF33" s="6"/>
      <c r="AG33" s="6"/>
      <c r="AH33" s="29"/>
      <c r="AI33" s="6"/>
      <c r="AK33" s="43"/>
      <c r="AL33" s="43"/>
      <c r="AM33" s="43"/>
      <c r="AN33" s="43"/>
      <c r="AO33" s="43"/>
      <c r="AP33" s="43"/>
      <c r="AQ33" s="43"/>
      <c r="AR33" s="43"/>
    </row>
    <row r="34" spans="1:44" ht="13.5" thickBot="1">
      <c r="A34" s="2" t="s">
        <v>40</v>
      </c>
      <c r="B34" s="8">
        <f t="shared" si="4"/>
        <v>0</v>
      </c>
      <c r="C34" s="65"/>
      <c r="D34" s="65"/>
      <c r="E34" s="65"/>
      <c r="F34" s="65"/>
      <c r="G34" s="65"/>
      <c r="H34" s="6"/>
      <c r="I34" s="6"/>
      <c r="J34" s="29"/>
      <c r="K34" s="65"/>
      <c r="L34" s="6"/>
      <c r="M34" s="29"/>
      <c r="N34" s="65"/>
      <c r="O34" s="65"/>
      <c r="P34" s="65"/>
      <c r="Q34" s="65"/>
      <c r="R34" s="65"/>
      <c r="S34" s="65"/>
      <c r="T34" s="65"/>
      <c r="U34" s="6"/>
      <c r="V34" s="29"/>
      <c r="W34" s="6"/>
      <c r="X34" s="6"/>
      <c r="Y34" s="36"/>
      <c r="Z34" s="6"/>
      <c r="AA34" s="6"/>
      <c r="AB34" s="6"/>
      <c r="AC34" s="6"/>
      <c r="AD34" s="6"/>
      <c r="AE34" s="6"/>
      <c r="AF34" s="6"/>
      <c r="AG34" s="6"/>
      <c r="AH34" s="29"/>
      <c r="AI34" s="6"/>
      <c r="AK34" s="43"/>
      <c r="AL34" s="43"/>
      <c r="AM34" s="43"/>
      <c r="AN34" s="43"/>
      <c r="AO34" s="43"/>
      <c r="AP34" s="43"/>
      <c r="AQ34" s="43"/>
      <c r="AR34" s="43"/>
    </row>
    <row r="35" spans="1:44" ht="13.5" thickBot="1">
      <c r="A35" s="2" t="s">
        <v>41</v>
      </c>
      <c r="B35" s="8">
        <f t="shared" si="4"/>
        <v>0</v>
      </c>
      <c r="C35" s="65"/>
      <c r="D35" s="65"/>
      <c r="E35" s="65"/>
      <c r="F35" s="65"/>
      <c r="G35" s="65"/>
      <c r="H35" s="6"/>
      <c r="I35" s="6"/>
      <c r="J35" s="29"/>
      <c r="K35" s="65"/>
      <c r="L35" s="6"/>
      <c r="M35" s="29"/>
      <c r="N35" s="65"/>
      <c r="O35" s="65"/>
      <c r="P35" s="65"/>
      <c r="Q35" s="65"/>
      <c r="R35" s="65"/>
      <c r="S35" s="65"/>
      <c r="T35" s="65"/>
      <c r="U35" s="6"/>
      <c r="V35" s="29"/>
      <c r="W35" s="6"/>
      <c r="X35" s="6"/>
      <c r="Y35" s="36"/>
      <c r="Z35" s="6"/>
      <c r="AA35" s="6"/>
      <c r="AB35" s="6"/>
      <c r="AC35" s="6"/>
      <c r="AD35" s="6"/>
      <c r="AE35" s="6"/>
      <c r="AF35" s="6"/>
      <c r="AG35" s="6"/>
      <c r="AH35" s="29"/>
      <c r="AI35" s="6"/>
      <c r="AK35" s="43"/>
      <c r="AL35" s="43"/>
      <c r="AM35" s="43"/>
      <c r="AN35" s="43"/>
      <c r="AO35" s="43"/>
      <c r="AP35" s="43"/>
      <c r="AQ35" s="43"/>
      <c r="AR35" s="43"/>
    </row>
    <row r="36" spans="1:44" ht="13.5" thickBot="1">
      <c r="A36" s="2" t="s">
        <v>42</v>
      </c>
      <c r="B36" s="8">
        <f t="shared" si="4"/>
        <v>175</v>
      </c>
      <c r="C36" s="65"/>
      <c r="D36" s="65"/>
      <c r="E36" s="65"/>
      <c r="F36" s="65"/>
      <c r="G36" s="65">
        <v>175</v>
      </c>
      <c r="H36" s="6"/>
      <c r="I36" s="6"/>
      <c r="J36" s="29"/>
      <c r="K36" s="65"/>
      <c r="L36" s="6"/>
      <c r="M36" s="29"/>
      <c r="N36" s="65"/>
      <c r="O36" s="65"/>
      <c r="P36" s="65"/>
      <c r="Q36" s="65"/>
      <c r="R36" s="65"/>
      <c r="S36" s="65"/>
      <c r="T36" s="65"/>
      <c r="U36" s="6"/>
      <c r="V36" s="29"/>
      <c r="W36" s="6"/>
      <c r="X36" s="6"/>
      <c r="Y36" s="36"/>
      <c r="Z36" s="6"/>
      <c r="AA36" s="6"/>
      <c r="AB36" s="6"/>
      <c r="AC36" s="6"/>
      <c r="AD36" s="6"/>
      <c r="AE36" s="6"/>
      <c r="AF36" s="6"/>
      <c r="AG36" s="6"/>
      <c r="AH36" s="29"/>
      <c r="AI36" s="6"/>
      <c r="AK36" s="43"/>
      <c r="AL36" s="43"/>
      <c r="AM36" s="43"/>
      <c r="AN36" s="43"/>
      <c r="AO36" s="43"/>
      <c r="AP36" s="43"/>
      <c r="AQ36" s="43"/>
      <c r="AR36" s="43"/>
    </row>
    <row r="37" spans="1:44" ht="13.5" thickBot="1">
      <c r="A37" s="2" t="s">
        <v>43</v>
      </c>
      <c r="B37" s="8">
        <f t="shared" si="4"/>
        <v>83.9</v>
      </c>
      <c r="C37" s="65"/>
      <c r="D37" s="65"/>
      <c r="E37" s="65"/>
      <c r="F37" s="65"/>
      <c r="G37" s="65"/>
      <c r="H37" s="6"/>
      <c r="I37" s="6"/>
      <c r="J37" s="29"/>
      <c r="K37" s="65"/>
      <c r="L37" s="6"/>
      <c r="M37" s="29"/>
      <c r="N37" s="65"/>
      <c r="O37" s="65">
        <v>21.6</v>
      </c>
      <c r="P37" s="65"/>
      <c r="Q37" s="65">
        <v>62.3</v>
      </c>
      <c r="R37" s="65"/>
      <c r="S37" s="65"/>
      <c r="T37" s="65"/>
      <c r="U37" s="6"/>
      <c r="V37" s="29"/>
      <c r="W37" s="6"/>
      <c r="X37" s="6"/>
      <c r="Y37" s="36"/>
      <c r="Z37" s="6"/>
      <c r="AA37" s="6"/>
      <c r="AB37" s="6"/>
      <c r="AC37" s="6"/>
      <c r="AD37" s="6"/>
      <c r="AE37" s="6"/>
      <c r="AF37" s="6"/>
      <c r="AG37" s="6"/>
      <c r="AH37" s="29"/>
      <c r="AI37" s="6"/>
      <c r="AK37" s="43"/>
      <c r="AL37" s="43"/>
      <c r="AM37" s="43"/>
      <c r="AN37" s="43"/>
      <c r="AO37" s="43"/>
      <c r="AP37" s="43"/>
      <c r="AQ37" s="43"/>
      <c r="AR37" s="43"/>
    </row>
    <row r="38" spans="1:44" ht="13.5" thickBot="1">
      <c r="A38" s="2" t="s">
        <v>44</v>
      </c>
      <c r="B38" s="8">
        <f t="shared" si="4"/>
        <v>115.9</v>
      </c>
      <c r="C38" s="65"/>
      <c r="D38" s="65"/>
      <c r="E38" s="65"/>
      <c r="F38" s="65"/>
      <c r="G38" s="65"/>
      <c r="H38" s="6"/>
      <c r="I38" s="6"/>
      <c r="J38" s="29"/>
      <c r="K38" s="65"/>
      <c r="L38" s="6"/>
      <c r="M38" s="29"/>
      <c r="N38" s="65">
        <v>59</v>
      </c>
      <c r="O38" s="65">
        <v>20</v>
      </c>
      <c r="P38" s="65"/>
      <c r="Q38" s="65">
        <v>36.9</v>
      </c>
      <c r="R38" s="65"/>
      <c r="S38" s="65"/>
      <c r="T38" s="65"/>
      <c r="U38" s="6"/>
      <c r="V38" s="29"/>
      <c r="W38" s="6"/>
      <c r="X38" s="6"/>
      <c r="Y38" s="36"/>
      <c r="Z38" s="6"/>
      <c r="AA38" s="6"/>
      <c r="AB38" s="6"/>
      <c r="AC38" s="6"/>
      <c r="AD38" s="6"/>
      <c r="AE38" s="6"/>
      <c r="AF38" s="6"/>
      <c r="AG38" s="6"/>
      <c r="AH38" s="29"/>
      <c r="AI38" s="6"/>
      <c r="AK38" s="43"/>
      <c r="AL38" s="43"/>
      <c r="AM38" s="43"/>
      <c r="AN38" s="43"/>
      <c r="AO38" s="43"/>
      <c r="AP38" s="43"/>
      <c r="AQ38" s="43"/>
      <c r="AR38" s="43"/>
    </row>
    <row r="39" spans="1:44" ht="13.5" thickBot="1">
      <c r="A39" s="2" t="s">
        <v>45</v>
      </c>
      <c r="B39" s="8">
        <f t="shared" si="4"/>
        <v>47.2</v>
      </c>
      <c r="C39" s="65"/>
      <c r="D39" s="65"/>
      <c r="E39" s="65"/>
      <c r="F39" s="65"/>
      <c r="G39" s="65"/>
      <c r="H39" s="6"/>
      <c r="I39" s="6"/>
      <c r="J39" s="29"/>
      <c r="K39" s="65"/>
      <c r="L39" s="6"/>
      <c r="M39" s="29"/>
      <c r="N39" s="65">
        <v>8</v>
      </c>
      <c r="O39" s="65">
        <v>10.4</v>
      </c>
      <c r="P39" s="65"/>
      <c r="Q39" s="65">
        <v>28.8</v>
      </c>
      <c r="R39" s="65"/>
      <c r="S39" s="65"/>
      <c r="T39" s="65"/>
      <c r="U39" s="6"/>
      <c r="V39" s="29"/>
      <c r="W39" s="6"/>
      <c r="X39" s="6"/>
      <c r="Y39" s="36"/>
      <c r="Z39" s="6"/>
      <c r="AA39" s="6"/>
      <c r="AB39" s="6"/>
      <c r="AC39" s="6"/>
      <c r="AD39" s="6"/>
      <c r="AE39" s="6"/>
      <c r="AF39" s="6"/>
      <c r="AG39" s="6"/>
      <c r="AH39" s="29"/>
      <c r="AI39" s="6"/>
      <c r="AK39" s="43"/>
      <c r="AL39" s="43"/>
      <c r="AM39" s="43"/>
      <c r="AN39" s="43"/>
      <c r="AO39" s="43"/>
      <c r="AP39" s="43"/>
      <c r="AQ39" s="43"/>
      <c r="AR39" s="43"/>
    </row>
    <row r="40" spans="1:44" ht="13.5" thickBot="1">
      <c r="A40" s="2" t="s">
        <v>46</v>
      </c>
      <c r="B40" s="8">
        <f t="shared" si="4"/>
        <v>25.8</v>
      </c>
      <c r="C40" s="65"/>
      <c r="D40" s="65"/>
      <c r="E40" s="65"/>
      <c r="F40" s="65"/>
      <c r="G40" s="65"/>
      <c r="H40" s="6"/>
      <c r="I40" s="6"/>
      <c r="J40" s="29"/>
      <c r="K40" s="65"/>
      <c r="L40" s="6"/>
      <c r="M40" s="29"/>
      <c r="N40" s="65"/>
      <c r="O40" s="65">
        <v>12</v>
      </c>
      <c r="P40" s="65"/>
      <c r="Q40" s="65">
        <v>13.8</v>
      </c>
      <c r="R40" s="65"/>
      <c r="S40" s="65"/>
      <c r="T40" s="65"/>
      <c r="U40" s="6"/>
      <c r="V40" s="29"/>
      <c r="W40" s="6"/>
      <c r="X40" s="6"/>
      <c r="Y40" s="36"/>
      <c r="Z40" s="6"/>
      <c r="AA40" s="6"/>
      <c r="AB40" s="6"/>
      <c r="AC40" s="6"/>
      <c r="AD40" s="6"/>
      <c r="AE40" s="6"/>
      <c r="AF40" s="6"/>
      <c r="AG40" s="6"/>
      <c r="AH40" s="29"/>
      <c r="AI40" s="6"/>
      <c r="AK40" s="43"/>
      <c r="AL40" s="43"/>
      <c r="AM40" s="43"/>
      <c r="AN40" s="43"/>
      <c r="AO40" s="43"/>
      <c r="AP40" s="43"/>
      <c r="AQ40" s="43"/>
      <c r="AR40" s="43"/>
    </row>
    <row r="41" spans="1:44" ht="13.5" thickBot="1">
      <c r="A41" s="2" t="s">
        <v>47</v>
      </c>
      <c r="B41" s="8">
        <f t="shared" si="4"/>
        <v>0</v>
      </c>
      <c r="C41" s="65"/>
      <c r="D41" s="65"/>
      <c r="E41" s="65"/>
      <c r="F41" s="65"/>
      <c r="G41" s="65"/>
      <c r="H41" s="6"/>
      <c r="I41" s="6"/>
      <c r="J41" s="29"/>
      <c r="K41" s="65"/>
      <c r="L41" s="6"/>
      <c r="M41" s="29"/>
      <c r="N41" s="65"/>
      <c r="O41" s="65"/>
      <c r="P41" s="65"/>
      <c r="Q41" s="65"/>
      <c r="R41" s="65"/>
      <c r="S41" s="65"/>
      <c r="T41" s="65"/>
      <c r="U41" s="6"/>
      <c r="V41" s="29"/>
      <c r="W41" s="6"/>
      <c r="X41" s="6"/>
      <c r="Y41" s="36"/>
      <c r="Z41" s="6"/>
      <c r="AA41" s="6"/>
      <c r="AB41" s="6"/>
      <c r="AC41" s="6"/>
      <c r="AD41" s="6"/>
      <c r="AE41" s="6"/>
      <c r="AF41" s="6"/>
      <c r="AG41" s="6"/>
      <c r="AH41" s="29"/>
      <c r="AI41" s="6"/>
      <c r="AK41" s="43"/>
      <c r="AL41" s="43"/>
      <c r="AM41" s="43"/>
      <c r="AN41" s="43"/>
      <c r="AO41" s="43"/>
      <c r="AP41" s="43"/>
      <c r="AQ41" s="43"/>
      <c r="AR41" s="43"/>
    </row>
    <row r="42" spans="1:44" ht="13.5" thickBot="1">
      <c r="A42" s="2" t="s">
        <v>48</v>
      </c>
      <c r="B42" s="8">
        <f t="shared" si="4"/>
        <v>0</v>
      </c>
      <c r="C42" s="65"/>
      <c r="D42" s="65"/>
      <c r="E42" s="65"/>
      <c r="F42" s="65"/>
      <c r="G42" s="65"/>
      <c r="H42" s="6"/>
      <c r="I42" s="6"/>
      <c r="J42" s="29"/>
      <c r="K42" s="65"/>
      <c r="L42" s="6"/>
      <c r="M42" s="29"/>
      <c r="N42" s="65"/>
      <c r="O42" s="65"/>
      <c r="P42" s="65"/>
      <c r="Q42" s="65"/>
      <c r="R42" s="65"/>
      <c r="S42" s="65"/>
      <c r="T42" s="65"/>
      <c r="U42" s="6"/>
      <c r="V42" s="29"/>
      <c r="W42" s="6"/>
      <c r="X42" s="6"/>
      <c r="Y42" s="36"/>
      <c r="Z42" s="6"/>
      <c r="AA42" s="6"/>
      <c r="AB42" s="6"/>
      <c r="AC42" s="6"/>
      <c r="AD42" s="6"/>
      <c r="AE42" s="6"/>
      <c r="AF42" s="6"/>
      <c r="AG42" s="6"/>
      <c r="AH42" s="29"/>
      <c r="AI42" s="6"/>
      <c r="AK42" s="43"/>
      <c r="AL42" s="43"/>
      <c r="AM42" s="43"/>
      <c r="AN42" s="43"/>
      <c r="AO42" s="43"/>
      <c r="AP42" s="43"/>
      <c r="AQ42" s="43"/>
      <c r="AR42" s="43"/>
    </row>
    <row r="43" spans="1:44" ht="13.5" thickBot="1">
      <c r="A43" s="2" t="s">
        <v>49</v>
      </c>
      <c r="B43" s="8">
        <f t="shared" si="4"/>
        <v>71.099999999999994</v>
      </c>
      <c r="C43" s="65"/>
      <c r="D43" s="65"/>
      <c r="E43" s="65"/>
      <c r="F43" s="65"/>
      <c r="G43" s="65"/>
      <c r="H43" s="6"/>
      <c r="I43" s="6"/>
      <c r="J43" s="29"/>
      <c r="K43" s="65"/>
      <c r="L43" s="6"/>
      <c r="M43" s="29"/>
      <c r="N43" s="65"/>
      <c r="O43" s="65">
        <v>40</v>
      </c>
      <c r="P43" s="65"/>
      <c r="Q43" s="65">
        <v>31.1</v>
      </c>
      <c r="R43" s="65"/>
      <c r="S43" s="65"/>
      <c r="T43" s="65"/>
      <c r="U43" s="6"/>
      <c r="V43" s="29"/>
      <c r="W43" s="6"/>
      <c r="X43" s="6"/>
      <c r="Y43" s="36"/>
      <c r="Z43" s="6"/>
      <c r="AA43" s="6"/>
      <c r="AB43" s="6"/>
      <c r="AC43" s="6"/>
      <c r="AD43" s="6"/>
      <c r="AE43" s="6"/>
      <c r="AF43" s="6"/>
      <c r="AG43" s="6"/>
      <c r="AH43" s="29"/>
      <c r="AI43" s="6"/>
      <c r="AK43" s="43"/>
      <c r="AL43" s="43"/>
      <c r="AM43" s="43"/>
      <c r="AN43" s="43"/>
      <c r="AO43" s="43"/>
      <c r="AP43" s="43"/>
      <c r="AQ43" s="43"/>
      <c r="AR43" s="43"/>
    </row>
    <row r="44" spans="1:44" ht="13.5" thickBot="1">
      <c r="A44" s="2" t="s">
        <v>2</v>
      </c>
      <c r="B44" s="8">
        <f t="shared" si="4"/>
        <v>98</v>
      </c>
      <c r="C44" s="65"/>
      <c r="D44" s="65"/>
      <c r="E44" s="65"/>
      <c r="F44" s="65">
        <v>20</v>
      </c>
      <c r="G44" s="65"/>
      <c r="H44" s="6"/>
      <c r="I44" s="6"/>
      <c r="J44" s="29"/>
      <c r="K44" s="65"/>
      <c r="L44" s="6"/>
      <c r="M44" s="29"/>
      <c r="N44" s="65"/>
      <c r="O44" s="65"/>
      <c r="P44" s="65">
        <v>28</v>
      </c>
      <c r="Q44" s="65"/>
      <c r="R44" s="65"/>
      <c r="S44" s="65">
        <v>50</v>
      </c>
      <c r="T44" s="65"/>
      <c r="U44" s="6"/>
      <c r="V44" s="29"/>
      <c r="W44" s="6"/>
      <c r="X44" s="6"/>
      <c r="Y44" s="36"/>
      <c r="Z44" s="6"/>
      <c r="AA44" s="6"/>
      <c r="AB44" s="6"/>
      <c r="AC44" s="6"/>
      <c r="AD44" s="6"/>
      <c r="AE44" s="6"/>
      <c r="AF44" s="6"/>
      <c r="AG44" s="6"/>
      <c r="AH44" s="29"/>
      <c r="AI44" s="6"/>
      <c r="AK44" s="43"/>
      <c r="AL44" s="43"/>
      <c r="AM44" s="43"/>
      <c r="AN44" s="43"/>
      <c r="AO44" s="43"/>
      <c r="AP44" s="43"/>
      <c r="AQ44" s="43"/>
      <c r="AR44" s="43"/>
    </row>
    <row r="45" spans="1:44" ht="13.5" thickBot="1">
      <c r="A45" s="2" t="s">
        <v>3</v>
      </c>
      <c r="B45" s="8">
        <f t="shared" si="4"/>
        <v>40</v>
      </c>
      <c r="C45" s="65"/>
      <c r="D45" s="65"/>
      <c r="E45" s="65"/>
      <c r="F45" s="65"/>
      <c r="G45" s="65"/>
      <c r="H45" s="6"/>
      <c r="I45" s="6"/>
      <c r="J45" s="29"/>
      <c r="K45" s="65"/>
      <c r="L45" s="6"/>
      <c r="M45" s="29"/>
      <c r="N45" s="65"/>
      <c r="O45" s="65"/>
      <c r="P45" s="65"/>
      <c r="Q45" s="65"/>
      <c r="R45" s="65"/>
      <c r="S45" s="65"/>
      <c r="T45" s="65">
        <v>40</v>
      </c>
      <c r="U45" s="6"/>
      <c r="V45" s="29"/>
      <c r="W45" s="6"/>
      <c r="X45" s="6"/>
      <c r="Y45" s="36"/>
      <c r="Z45" s="6"/>
      <c r="AA45" s="6"/>
      <c r="AB45" s="6"/>
      <c r="AC45" s="6"/>
      <c r="AD45" s="6"/>
      <c r="AE45" s="6"/>
      <c r="AF45" s="6"/>
      <c r="AG45" s="6"/>
      <c r="AH45" s="29"/>
      <c r="AI45" s="6"/>
      <c r="AK45" s="43"/>
      <c r="AL45" s="43"/>
      <c r="AM45" s="43"/>
      <c r="AN45" s="43"/>
      <c r="AO45" s="43"/>
      <c r="AP45" s="43"/>
      <c r="AQ45" s="43"/>
      <c r="AR45" s="43"/>
    </row>
    <row r="46" spans="1:44" ht="13.5" thickBot="1">
      <c r="A46" s="2" t="s">
        <v>50</v>
      </c>
      <c r="B46" s="8">
        <f t="shared" si="4"/>
        <v>8</v>
      </c>
      <c r="C46" s="65"/>
      <c r="D46" s="65"/>
      <c r="E46" s="65">
        <v>8</v>
      </c>
      <c r="F46" s="65"/>
      <c r="G46" s="65"/>
      <c r="H46" s="6"/>
      <c r="I46" s="6"/>
      <c r="J46" s="29"/>
      <c r="K46" s="65"/>
      <c r="L46" s="6"/>
      <c r="M46" s="29"/>
      <c r="N46" s="65"/>
      <c r="O46" s="65"/>
      <c r="P46" s="65"/>
      <c r="Q46" s="65"/>
      <c r="R46" s="65"/>
      <c r="S46" s="65"/>
      <c r="T46" s="65"/>
      <c r="U46" s="6"/>
      <c r="V46" s="29"/>
      <c r="W46" s="6"/>
      <c r="X46" s="6"/>
      <c r="Y46" s="36"/>
      <c r="Z46" s="6"/>
      <c r="AA46" s="6"/>
      <c r="AB46" s="6"/>
      <c r="AC46" s="6"/>
      <c r="AD46" s="6"/>
      <c r="AE46" s="6"/>
      <c r="AF46" s="6"/>
      <c r="AG46" s="6"/>
      <c r="AH46" s="29"/>
      <c r="AI46" s="6"/>
      <c r="AK46" s="43"/>
      <c r="AL46" s="43"/>
      <c r="AM46" s="43"/>
      <c r="AN46" s="43"/>
      <c r="AO46" s="43"/>
      <c r="AP46" s="43"/>
      <c r="AQ46" s="43"/>
      <c r="AR46" s="43"/>
    </row>
    <row r="47" spans="1:44" ht="13.5" thickBot="1">
      <c r="A47" s="2" t="s">
        <v>51</v>
      </c>
      <c r="B47" s="8">
        <f t="shared" si="4"/>
        <v>1</v>
      </c>
      <c r="C47" s="65"/>
      <c r="D47" s="65"/>
      <c r="E47" s="65"/>
      <c r="F47" s="65"/>
      <c r="G47" s="65"/>
      <c r="H47" s="6"/>
      <c r="I47" s="6"/>
      <c r="J47" s="29"/>
      <c r="K47" s="65"/>
      <c r="L47" s="6"/>
      <c r="M47" s="29"/>
      <c r="N47" s="65"/>
      <c r="O47" s="65"/>
      <c r="P47" s="65"/>
      <c r="Q47" s="65"/>
      <c r="R47" s="65">
        <v>1</v>
      </c>
      <c r="S47" s="65"/>
      <c r="T47" s="65"/>
      <c r="U47" s="6"/>
      <c r="V47" s="29"/>
      <c r="W47" s="6"/>
      <c r="X47" s="6"/>
      <c r="Y47" s="36"/>
      <c r="Z47" s="6"/>
      <c r="AA47" s="6"/>
      <c r="AB47" s="6"/>
      <c r="AC47" s="6"/>
      <c r="AD47" s="6"/>
      <c r="AE47" s="6"/>
      <c r="AF47" s="6"/>
      <c r="AG47" s="6"/>
      <c r="AH47" s="29"/>
      <c r="AI47" s="6"/>
      <c r="AK47" s="43"/>
      <c r="AL47" s="43"/>
      <c r="AM47" s="43"/>
      <c r="AN47" s="43"/>
      <c r="AO47" s="43"/>
      <c r="AP47" s="43"/>
      <c r="AQ47" s="43"/>
      <c r="AR47" s="43"/>
    </row>
    <row r="48" spans="1:44" ht="13.5" thickBot="1">
      <c r="A48" s="2" t="s">
        <v>52</v>
      </c>
      <c r="B48" s="8">
        <f t="shared" si="4"/>
        <v>6.4</v>
      </c>
      <c r="C48" s="65"/>
      <c r="D48" s="65"/>
      <c r="E48" s="65"/>
      <c r="F48" s="65"/>
      <c r="G48" s="65"/>
      <c r="H48" s="6"/>
      <c r="I48" s="6"/>
      <c r="J48" s="29"/>
      <c r="K48" s="65"/>
      <c r="L48" s="6"/>
      <c r="M48" s="29"/>
      <c r="N48" s="65"/>
      <c r="O48" s="65">
        <v>6.4</v>
      </c>
      <c r="P48" s="65"/>
      <c r="Q48" s="65"/>
      <c r="R48" s="65"/>
      <c r="S48" s="65"/>
      <c r="T48" s="65"/>
      <c r="U48" s="6"/>
      <c r="V48" s="29"/>
      <c r="W48" s="6"/>
      <c r="X48" s="6"/>
      <c r="Y48" s="36"/>
      <c r="Z48" s="6"/>
      <c r="AA48" s="6"/>
      <c r="AB48" s="6"/>
      <c r="AC48" s="6"/>
      <c r="AD48" s="6"/>
      <c r="AE48" s="6"/>
      <c r="AF48" s="6"/>
      <c r="AG48" s="6"/>
      <c r="AH48" s="29"/>
      <c r="AI48" s="6"/>
      <c r="AK48" s="43"/>
      <c r="AL48" s="43"/>
      <c r="AM48" s="43"/>
      <c r="AN48" s="43"/>
      <c r="AO48" s="43"/>
      <c r="AP48" s="43"/>
      <c r="AQ48" s="43"/>
      <c r="AR48" s="43"/>
    </row>
    <row r="49" spans="1:44" ht="13.5" thickBot="1">
      <c r="A49" s="2" t="s">
        <v>13</v>
      </c>
      <c r="B49" s="8">
        <f t="shared" si="4"/>
        <v>0</v>
      </c>
      <c r="C49" s="65"/>
      <c r="D49" s="65"/>
      <c r="E49" s="65"/>
      <c r="F49" s="65"/>
      <c r="G49" s="65"/>
      <c r="H49" s="6"/>
      <c r="I49" s="6"/>
      <c r="J49" s="29"/>
      <c r="K49" s="65"/>
      <c r="L49" s="6"/>
      <c r="M49" s="29"/>
      <c r="N49" s="65"/>
      <c r="O49" s="65"/>
      <c r="P49" s="65"/>
      <c r="Q49" s="65"/>
      <c r="R49" s="65"/>
      <c r="S49" s="65"/>
      <c r="T49" s="65"/>
      <c r="U49" s="6"/>
      <c r="V49" s="29"/>
      <c r="W49" s="6"/>
      <c r="X49" s="6"/>
      <c r="Y49" s="36"/>
      <c r="Z49" s="6"/>
      <c r="AA49" s="6"/>
      <c r="AB49" s="6"/>
      <c r="AC49" s="6"/>
      <c r="AD49" s="6"/>
      <c r="AE49" s="6"/>
      <c r="AF49" s="6"/>
      <c r="AG49" s="6"/>
      <c r="AH49" s="29"/>
      <c r="AI49" s="6"/>
      <c r="AK49" s="43"/>
      <c r="AL49" s="43"/>
      <c r="AM49" s="43"/>
      <c r="AN49" s="43"/>
      <c r="AO49" s="43"/>
      <c r="AP49" s="43"/>
      <c r="AQ49" s="43"/>
      <c r="AR49" s="43"/>
    </row>
    <row r="50" spans="1:44" ht="13.5" thickBot="1">
      <c r="A50" s="2" t="s">
        <v>53</v>
      </c>
      <c r="B50" s="8">
        <f t="shared" si="4"/>
        <v>0</v>
      </c>
      <c r="C50" s="65"/>
      <c r="D50" s="65"/>
      <c r="E50" s="65"/>
      <c r="F50" s="65"/>
      <c r="G50" s="65"/>
      <c r="H50" s="6"/>
      <c r="I50" s="6"/>
      <c r="J50" s="29"/>
      <c r="K50" s="65"/>
      <c r="L50" s="6"/>
      <c r="M50" s="29"/>
      <c r="N50" s="65"/>
      <c r="O50" s="65"/>
      <c r="P50" s="65"/>
      <c r="Q50" s="65"/>
      <c r="R50" s="65"/>
      <c r="S50" s="65"/>
      <c r="T50" s="65"/>
      <c r="U50" s="6"/>
      <c r="V50" s="29"/>
      <c r="W50" s="6"/>
      <c r="X50" s="6"/>
      <c r="Y50" s="36"/>
      <c r="Z50" s="6"/>
      <c r="AA50" s="6"/>
      <c r="AB50" s="6"/>
      <c r="AC50" s="6"/>
      <c r="AD50" s="6"/>
      <c r="AE50" s="6"/>
      <c r="AF50" s="6"/>
      <c r="AG50" s="6"/>
      <c r="AH50" s="29"/>
      <c r="AI50" s="6"/>
      <c r="AK50" s="43"/>
      <c r="AL50" s="43"/>
      <c r="AM50" s="43"/>
      <c r="AN50" s="43"/>
      <c r="AO50" s="43"/>
      <c r="AP50" s="43"/>
      <c r="AQ50" s="43"/>
      <c r="AR50" s="43"/>
    </row>
    <row r="51" spans="1:44" ht="14.25" customHeight="1" thickBot="1">
      <c r="A51" s="2" t="s">
        <v>115</v>
      </c>
      <c r="B51" s="64">
        <f>C51+D51+E51+F51+G51+H51+I51+J51+K51+L51+M51+N51+O51+P51+Q51+R51+S51+T51+U51+V51+W51+X51+Y51+Z51+AA51+AB51+AC51+AD51+AE51+AF51+AG51+AI51</f>
        <v>0</v>
      </c>
      <c r="C51" s="2"/>
      <c r="D51" s="2"/>
      <c r="E51" s="2"/>
      <c r="F51" s="2"/>
      <c r="G51" s="2"/>
      <c r="H51" s="2"/>
      <c r="I51" s="2"/>
      <c r="J51" s="65"/>
      <c r="K51" s="2"/>
      <c r="L51" s="6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5"/>
      <c r="AI51" s="2"/>
    </row>
  </sheetData>
  <mergeCells count="20">
    <mergeCell ref="Z4:AH4"/>
    <mergeCell ref="C4:J4"/>
    <mergeCell ref="K4:L4"/>
    <mergeCell ref="N4:V4"/>
    <mergeCell ref="W4:X4"/>
    <mergeCell ref="AB1:AH1"/>
    <mergeCell ref="B1:J1"/>
    <mergeCell ref="K1:L1"/>
    <mergeCell ref="N1:V1"/>
    <mergeCell ref="W1:X1"/>
    <mergeCell ref="AA2:AH2"/>
    <mergeCell ref="B3:J3"/>
    <mergeCell ref="K3:L3"/>
    <mergeCell ref="N3:V3"/>
    <mergeCell ref="W3:X3"/>
    <mergeCell ref="AA3:AH3"/>
    <mergeCell ref="B2:J2"/>
    <mergeCell ref="K2:L2"/>
    <mergeCell ref="N2:V2"/>
    <mergeCell ref="W2:X2"/>
  </mergeCells>
  <phoneticPr fontId="4" type="noConversion"/>
  <pageMargins left="0.16" right="0.16" top="0.23" bottom="0.23" header="0.16" footer="0.15"/>
  <pageSetup paperSize="9"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9"/>
  <sheetViews>
    <sheetView topLeftCell="A8" zoomScale="75" workbookViewId="0">
      <selection activeCell="B29" sqref="B29"/>
    </sheetView>
  </sheetViews>
  <sheetFormatPr defaultRowHeight="12.75"/>
  <cols>
    <col min="1" max="1" width="23.85546875" customWidth="1"/>
    <col min="2" max="2" width="7.42578125" customWidth="1"/>
    <col min="3" max="3" width="8.140625" customWidth="1"/>
    <col min="4" max="4" width="8" customWidth="1"/>
    <col min="5" max="5" width="7.140625" customWidth="1"/>
    <col min="6" max="6" width="8.85546875" customWidth="1"/>
    <col min="7" max="8" width="7.5703125" customWidth="1"/>
    <col min="9" max="9" width="8.140625" customWidth="1"/>
    <col min="10" max="10" width="8" customWidth="1"/>
    <col min="11" max="11" width="7.7109375" customWidth="1"/>
    <col min="12" max="12" width="7.140625" customWidth="1"/>
    <col min="13" max="13" width="7.85546875" customWidth="1"/>
    <col min="14" max="14" width="7.5703125" customWidth="1"/>
    <col min="15" max="15" width="9.42578125" customWidth="1"/>
    <col min="16" max="16" width="9.7109375" customWidth="1"/>
    <col min="17" max="17" width="12.7109375" customWidth="1"/>
    <col min="18" max="18" width="5.85546875" customWidth="1"/>
    <col min="19" max="19" width="21.85546875" customWidth="1"/>
    <col min="20" max="20" width="9" customWidth="1"/>
    <col min="21" max="21" width="14" bestFit="1" customWidth="1"/>
    <col min="23" max="23" width="15.42578125" customWidth="1"/>
    <col min="24" max="24" width="11.140625" customWidth="1"/>
    <col min="25" max="25" width="13.140625" customWidth="1"/>
    <col min="26" max="26" width="11" customWidth="1"/>
    <col min="27" max="27" width="11.7109375" customWidth="1"/>
    <col min="28" max="28" width="11" customWidth="1"/>
    <col min="29" max="29" width="11.7109375" customWidth="1"/>
    <col min="30" max="30" width="12.28515625" customWidth="1"/>
  </cols>
  <sheetData>
    <row r="1" spans="1:26" ht="19.5" thickBo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6" ht="48" thickBot="1">
      <c r="A2" s="13"/>
      <c r="B2" s="14" t="s">
        <v>56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60">
        <v>11</v>
      </c>
      <c r="N2" s="60">
        <v>12</v>
      </c>
      <c r="O2" s="23" t="s">
        <v>86</v>
      </c>
      <c r="P2" s="23" t="s">
        <v>57</v>
      </c>
      <c r="Q2" s="23" t="s">
        <v>58</v>
      </c>
      <c r="S2" s="16"/>
      <c r="T2" s="14" t="s">
        <v>59</v>
      </c>
      <c r="U2" s="14" t="s">
        <v>60</v>
      </c>
      <c r="V2" s="14" t="s">
        <v>61</v>
      </c>
      <c r="W2" s="14" t="s">
        <v>62</v>
      </c>
      <c r="X2" s="14" t="s">
        <v>63</v>
      </c>
      <c r="Y2" s="14" t="s">
        <v>64</v>
      </c>
      <c r="Z2" s="14" t="s">
        <v>65</v>
      </c>
    </row>
    <row r="3" spans="1:26" ht="16.5" thickBot="1">
      <c r="A3" s="17" t="s">
        <v>66</v>
      </c>
      <c r="B3" s="22">
        <v>47.5</v>
      </c>
      <c r="C3" s="68">
        <f>'1 день'!B8+'1 день'!B9</f>
        <v>0</v>
      </c>
      <c r="D3" s="68">
        <f>'2 день'!B8+'2 день'!B9</f>
        <v>100</v>
      </c>
      <c r="E3" s="68">
        <f>'3 день'!B8+'3 день'!B9</f>
        <v>0</v>
      </c>
      <c r="F3" s="68">
        <f>'4 день'!B8+'4 день'!B9</f>
        <v>107.5</v>
      </c>
      <c r="G3" s="68">
        <f>'5 день'!B8+'5 день'!B9</f>
        <v>0</v>
      </c>
      <c r="H3" s="68">
        <f>'6 день'!B8+'6 день'!B9</f>
        <v>102.5</v>
      </c>
      <c r="I3" s="68">
        <f>'7 день'!B8+'7 день'!B9</f>
        <v>110</v>
      </c>
      <c r="J3" s="68">
        <f>'8 день'!B8+'8 день'!B9</f>
        <v>0</v>
      </c>
      <c r="K3" s="68">
        <f>'9 день'!B8+'9 день'!B9</f>
        <v>69</v>
      </c>
      <c r="L3" s="68">
        <f>'10 день'!B8+'10 день'!B9</f>
        <v>0</v>
      </c>
      <c r="M3" s="68">
        <f>'11 день'!B8+'11 день'!B9</f>
        <v>0</v>
      </c>
      <c r="N3" s="68">
        <f>'12 день'!B8+'12 день'!B9</f>
        <v>100</v>
      </c>
      <c r="O3" s="69">
        <f>C3+D3+E3+F3+G3+H3+I3+J3+K3+L3+M3+N3</f>
        <v>589</v>
      </c>
      <c r="P3" s="68">
        <f>O3/12</f>
        <v>49.083333333333336</v>
      </c>
      <c r="Q3" s="70">
        <f t="shared" ref="Q3:Q30" si="0">P3-B3</f>
        <v>1.5833333333333357</v>
      </c>
      <c r="S3" s="19" t="s">
        <v>66</v>
      </c>
      <c r="T3" s="18">
        <f>O3*2</f>
        <v>1178</v>
      </c>
      <c r="U3" s="20">
        <f>T3/24</f>
        <v>49.083333333333336</v>
      </c>
      <c r="V3" s="20">
        <f>U3*71/100</f>
        <v>34.849166666666669</v>
      </c>
      <c r="W3" s="20">
        <f>V3*20/100</f>
        <v>6.9698333333333338</v>
      </c>
      <c r="X3" s="20">
        <f>V3*9.8/100</f>
        <v>3.4152183333333341</v>
      </c>
      <c r="Y3" s="20">
        <f>0</f>
        <v>0</v>
      </c>
      <c r="Z3" s="20">
        <f>V3*168/100</f>
        <v>58.546600000000005</v>
      </c>
    </row>
    <row r="4" spans="1:26" ht="16.5" thickBot="1">
      <c r="A4" s="17" t="s">
        <v>88</v>
      </c>
      <c r="B4" s="22">
        <v>7.5</v>
      </c>
      <c r="C4" s="68">
        <f>'1 день'!B12</f>
        <v>51.25</v>
      </c>
      <c r="D4" s="68">
        <f>'2 день'!B12</f>
        <v>0</v>
      </c>
      <c r="E4" s="68">
        <f>'3 день'!B12</f>
        <v>0</v>
      </c>
      <c r="F4" s="68">
        <f>'4 день'!B12</f>
        <v>0</v>
      </c>
      <c r="G4" s="68">
        <f>'5 день'!B12</f>
        <v>0</v>
      </c>
      <c r="H4" s="68">
        <f>'6 день'!B12</f>
        <v>0</v>
      </c>
      <c r="I4" s="68">
        <f>'7 день'!B12</f>
        <v>0</v>
      </c>
      <c r="J4" s="68">
        <f>'8 день'!B12</f>
        <v>0</v>
      </c>
      <c r="K4" s="68">
        <f>'9 день'!B12</f>
        <v>0</v>
      </c>
      <c r="L4" s="68">
        <f>'10 день'!B12</f>
        <v>0</v>
      </c>
      <c r="M4" s="68">
        <f>'11 день'!B12</f>
        <v>51.25</v>
      </c>
      <c r="N4" s="68">
        <f>'12 день'!B12</f>
        <v>0</v>
      </c>
      <c r="O4" s="69">
        <f t="shared" ref="O4:O31" si="1">C4+D4+E4+F4+G4+H4+I4+J4+K4+L4+M4+N4</f>
        <v>102.5</v>
      </c>
      <c r="P4" s="68">
        <f>O4/12</f>
        <v>8.5416666666666661</v>
      </c>
      <c r="Q4" s="70">
        <f t="shared" si="0"/>
        <v>1.0416666666666661</v>
      </c>
      <c r="S4" s="63" t="s">
        <v>88</v>
      </c>
      <c r="T4" s="18">
        <f>O4*2</f>
        <v>205</v>
      </c>
      <c r="U4" s="20">
        <f>T4/24</f>
        <v>8.5416666666666661</v>
      </c>
      <c r="V4" s="20">
        <f>U4*71/100</f>
        <v>6.0645833333333323</v>
      </c>
      <c r="W4" s="20">
        <f>V4*12.2/100</f>
        <v>0.73987916666666653</v>
      </c>
      <c r="X4" s="20">
        <f>V4*28/100</f>
        <v>1.6980833333333332</v>
      </c>
      <c r="Y4" s="20">
        <f>V4*0/100</f>
        <v>0</v>
      </c>
      <c r="Z4" s="20">
        <f>V4*301/100</f>
        <v>18.25439583333333</v>
      </c>
    </row>
    <row r="5" spans="1:26" ht="16.5" thickBot="1">
      <c r="A5" s="17" t="s">
        <v>18</v>
      </c>
      <c r="B5" s="22">
        <v>25.5</v>
      </c>
      <c r="C5" s="68">
        <f>'1 день'!B10</f>
        <v>0</v>
      </c>
      <c r="D5" s="68">
        <f>'2 день'!B10</f>
        <v>0</v>
      </c>
      <c r="E5" s="68">
        <f>'3 день'!B10</f>
        <v>208</v>
      </c>
      <c r="F5" s="68">
        <f>'4 день'!B10</f>
        <v>0</v>
      </c>
      <c r="G5" s="68">
        <f>'5 день'!B10</f>
        <v>0</v>
      </c>
      <c r="H5" s="68">
        <f>'6 день'!B10</f>
        <v>0</v>
      </c>
      <c r="I5" s="68">
        <f>'7 день'!B10</f>
        <v>0</v>
      </c>
      <c r="J5" s="68">
        <f>'8 день'!B10</f>
        <v>0</v>
      </c>
      <c r="K5" s="68">
        <f>'9 день'!B10</f>
        <v>0</v>
      </c>
      <c r="L5" s="68">
        <f>'10 день'!B10</f>
        <v>107</v>
      </c>
      <c r="M5" s="68">
        <f>'11 день'!B10</f>
        <v>0</v>
      </c>
      <c r="N5" s="68">
        <f>'12 день'!B10</f>
        <v>0</v>
      </c>
      <c r="O5" s="69">
        <f t="shared" si="1"/>
        <v>315</v>
      </c>
      <c r="P5" s="68">
        <f>O5/12</f>
        <v>26.25</v>
      </c>
      <c r="Q5" s="70">
        <f t="shared" si="0"/>
        <v>0.75</v>
      </c>
      <c r="S5" s="63" t="s">
        <v>87</v>
      </c>
      <c r="T5" s="18">
        <f>O5*2</f>
        <v>630</v>
      </c>
      <c r="U5" s="20">
        <f>T5/24</f>
        <v>26.25</v>
      </c>
      <c r="V5" s="20">
        <f>U5*71/100</f>
        <v>18.637499999999999</v>
      </c>
      <c r="W5" s="20">
        <f>V5*21.3/100</f>
        <v>3.9697874999999998</v>
      </c>
      <c r="X5" s="20">
        <f>V5*11/100</f>
        <v>2.050125</v>
      </c>
      <c r="Y5" s="20">
        <f>V5*0.1/100</f>
        <v>1.8637500000000001E-2</v>
      </c>
      <c r="Z5" s="20">
        <f>V5*185/100</f>
        <v>34.479374999999997</v>
      </c>
    </row>
    <row r="6" spans="1:26" ht="18" customHeight="1" thickBot="1">
      <c r="A6" s="17" t="s">
        <v>67</v>
      </c>
      <c r="B6" s="22">
        <v>30</v>
      </c>
      <c r="C6" s="68">
        <f>'1 день'!B14</f>
        <v>0</v>
      </c>
      <c r="D6" s="68">
        <f>'2 день'!B14</f>
        <v>0</v>
      </c>
      <c r="E6" s="68">
        <f>'3 день'!B14</f>
        <v>35</v>
      </c>
      <c r="F6" s="68">
        <f>'4 день'!B14</f>
        <v>0</v>
      </c>
      <c r="G6" s="68">
        <f>'5 день'!B14</f>
        <v>128</v>
      </c>
      <c r="H6" s="68">
        <f>'6 день'!B14</f>
        <v>0</v>
      </c>
      <c r="I6" s="68">
        <f>'7 день'!B14</f>
        <v>0</v>
      </c>
      <c r="J6" s="68">
        <f>'8 день'!B14</f>
        <v>140</v>
      </c>
      <c r="K6" s="68">
        <f>'9 день'!B14</f>
        <v>56.75</v>
      </c>
      <c r="L6" s="68">
        <f>'10 день'!B14</f>
        <v>0</v>
      </c>
      <c r="M6" s="68">
        <f>'11 день'!B14</f>
        <v>0</v>
      </c>
      <c r="N6" s="68">
        <f>'12 день'!B14</f>
        <v>0</v>
      </c>
      <c r="O6" s="69">
        <f t="shared" si="1"/>
        <v>359.75</v>
      </c>
      <c r="P6" s="68">
        <f>O6/12</f>
        <v>29.979166666666668</v>
      </c>
      <c r="Q6" s="70">
        <f t="shared" si="0"/>
        <v>-2.0833333333332149E-2</v>
      </c>
      <c r="S6" s="19" t="s">
        <v>67</v>
      </c>
      <c r="T6" s="18">
        <f>O6*2</f>
        <v>719.5</v>
      </c>
      <c r="U6" s="20">
        <f>T6/24</f>
        <v>29.979166666666668</v>
      </c>
      <c r="V6" s="20">
        <f>U6*58/100</f>
        <v>17.387916666666669</v>
      </c>
      <c r="W6" s="20">
        <f>V6*19.1/100</f>
        <v>3.3210920833333342</v>
      </c>
      <c r="X6" s="20">
        <f>V6*17.6/100</f>
        <v>3.0602733333333338</v>
      </c>
      <c r="Y6" s="20">
        <f>V6*0/100</f>
        <v>0</v>
      </c>
      <c r="Z6" s="20">
        <f>V6*135/100</f>
        <v>23.473687500000004</v>
      </c>
    </row>
    <row r="7" spans="1:26" ht="15.75" hidden="1" customHeight="1" thickBot="1">
      <c r="A7" s="17" t="s">
        <v>68</v>
      </c>
      <c r="B7" s="22"/>
      <c r="C7" s="68">
        <f>'1 день'!B12</f>
        <v>51.25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>
        <f t="shared" si="1"/>
        <v>51.25</v>
      </c>
      <c r="P7" s="68">
        <f>O7/10</f>
        <v>5.125</v>
      </c>
      <c r="Q7" s="68">
        <f t="shared" si="0"/>
        <v>5.125</v>
      </c>
      <c r="S7" s="19" t="s">
        <v>68</v>
      </c>
      <c r="T7" s="18" t="e">
        <f>O7+#REF!</f>
        <v>#REF!</v>
      </c>
      <c r="U7" s="20" t="e">
        <f>T7/28</f>
        <v>#REF!</v>
      </c>
      <c r="V7" s="20" t="e">
        <f>U7*58/100</f>
        <v>#REF!</v>
      </c>
      <c r="W7" s="20" t="e">
        <f>V7*19.1/100</f>
        <v>#REF!</v>
      </c>
      <c r="X7" s="20" t="e">
        <f>V7*17.6/100</f>
        <v>#REF!</v>
      </c>
      <c r="Y7" s="20" t="e">
        <f>V7*0/100</f>
        <v>#REF!</v>
      </c>
      <c r="Z7" s="20" t="e">
        <f>V7*235/100</f>
        <v>#REF!</v>
      </c>
    </row>
    <row r="8" spans="1:26" ht="23.25" customHeight="1" thickBot="1">
      <c r="A8" s="17" t="s">
        <v>23</v>
      </c>
      <c r="B8" s="22">
        <v>15</v>
      </c>
      <c r="C8" s="68">
        <f>'1 день'!B15</f>
        <v>23.7</v>
      </c>
      <c r="D8" s="68">
        <f>'2 день'!B15</f>
        <v>19.75</v>
      </c>
      <c r="E8" s="68">
        <f>'3 день'!B15</f>
        <v>13.15</v>
      </c>
      <c r="F8" s="68">
        <f>'4 день'!B15</f>
        <v>24.5</v>
      </c>
      <c r="G8" s="68">
        <f>'5 день'!B15</f>
        <v>10.199999999999999</v>
      </c>
      <c r="H8" s="68">
        <f>'6 день'!B15</f>
        <v>35.4</v>
      </c>
      <c r="I8" s="68">
        <f>'7 день'!B15</f>
        <v>21.8</v>
      </c>
      <c r="J8" s="68">
        <f>'8 день'!B15</f>
        <v>14</v>
      </c>
      <c r="K8" s="68">
        <f>'9 день'!B15</f>
        <v>24.7</v>
      </c>
      <c r="L8" s="68">
        <f>'10 день'!B15</f>
        <v>16</v>
      </c>
      <c r="M8" s="68">
        <f>'11 день'!B16</f>
        <v>9</v>
      </c>
      <c r="N8" s="68">
        <f>'12 день'!B16</f>
        <v>3</v>
      </c>
      <c r="O8" s="69">
        <f t="shared" si="1"/>
        <v>215.2</v>
      </c>
      <c r="P8" s="68">
        <f t="shared" ref="P8:P31" si="2">O8/12</f>
        <v>17.933333333333334</v>
      </c>
      <c r="Q8" s="70">
        <f t="shared" si="0"/>
        <v>2.9333333333333336</v>
      </c>
      <c r="S8" s="19" t="s">
        <v>23</v>
      </c>
      <c r="T8" s="18">
        <f t="shared" ref="T8:T31" si="3">O8*2</f>
        <v>430.4</v>
      </c>
      <c r="U8" s="20">
        <f t="shared" ref="U8:U31" si="4">T8/24</f>
        <v>17.933333333333334</v>
      </c>
      <c r="V8" s="20">
        <f t="shared" ref="V8:V14" si="5">U8</f>
        <v>17.933333333333334</v>
      </c>
      <c r="W8" s="20">
        <f>V8*0.7/100</f>
        <v>0.12553333333333333</v>
      </c>
      <c r="X8" s="20">
        <f>V8*78/100</f>
        <v>13.988</v>
      </c>
      <c r="Y8" s="20">
        <f>V8*0/100</f>
        <v>0</v>
      </c>
      <c r="Z8" s="20">
        <f>V8*709/100</f>
        <v>127.14733333333334</v>
      </c>
    </row>
    <row r="9" spans="1:26" ht="18" customHeight="1" thickBot="1">
      <c r="A9" s="17" t="s">
        <v>24</v>
      </c>
      <c r="B9" s="22">
        <v>7.5</v>
      </c>
      <c r="C9" s="68">
        <f>'1 день'!B16</f>
        <v>9.9499999999999993</v>
      </c>
      <c r="D9" s="68">
        <f>'2 день'!B16</f>
        <v>9</v>
      </c>
      <c r="E9" s="68">
        <f>'3 день'!B16</f>
        <v>6</v>
      </c>
      <c r="F9" s="68">
        <f>'4 день'!B16</f>
        <v>6</v>
      </c>
      <c r="G9" s="68">
        <f>'5 день'!B16</f>
        <v>19</v>
      </c>
      <c r="H9" s="68">
        <f>'6 день'!B16</f>
        <v>3.95</v>
      </c>
      <c r="I9" s="68">
        <f>'7 день'!B16</f>
        <v>9</v>
      </c>
      <c r="J9" s="68">
        <f>'8 день'!B16</f>
        <v>6</v>
      </c>
      <c r="K9" s="68">
        <f>'9 день'!B16</f>
        <v>5.45</v>
      </c>
      <c r="L9" s="68">
        <f>'10 день'!B16</f>
        <v>9</v>
      </c>
      <c r="M9" s="68">
        <f>'11 день'!B16</f>
        <v>9</v>
      </c>
      <c r="N9" s="68">
        <f>'12 день'!B16</f>
        <v>3</v>
      </c>
      <c r="O9" s="69">
        <f t="shared" si="1"/>
        <v>95.350000000000009</v>
      </c>
      <c r="P9" s="68">
        <f t="shared" si="2"/>
        <v>7.9458333333333337</v>
      </c>
      <c r="Q9" s="70">
        <f t="shared" si="0"/>
        <v>0.44583333333333375</v>
      </c>
      <c r="S9" s="19" t="s">
        <v>24</v>
      </c>
      <c r="T9" s="18">
        <f t="shared" si="3"/>
        <v>190.70000000000002</v>
      </c>
      <c r="U9" s="20">
        <f t="shared" si="4"/>
        <v>7.9458333333333337</v>
      </c>
      <c r="V9" s="20">
        <f t="shared" si="5"/>
        <v>7.9458333333333337</v>
      </c>
      <c r="W9" s="20">
        <f>V9*0/100</f>
        <v>0</v>
      </c>
      <c r="X9" s="20">
        <f>V9*99.9/100</f>
        <v>7.9378875000000004</v>
      </c>
      <c r="Y9" s="20">
        <f>V9*0/100</f>
        <v>0</v>
      </c>
      <c r="Z9" s="20">
        <f>V9*899/100</f>
        <v>71.433041666666668</v>
      </c>
    </row>
    <row r="10" spans="1:26" ht="16.5" thickBot="1">
      <c r="A10" s="17" t="s">
        <v>54</v>
      </c>
      <c r="B10" s="22">
        <v>150</v>
      </c>
      <c r="C10" s="68">
        <f>'1 день'!B17</f>
        <v>120</v>
      </c>
      <c r="D10" s="68">
        <f>'2 день'!B17</f>
        <v>125.05</v>
      </c>
      <c r="E10" s="68">
        <f>'3 день'!B17</f>
        <v>105</v>
      </c>
      <c r="F10" s="68">
        <f>'4 день'!B17</f>
        <v>132</v>
      </c>
      <c r="G10" s="68">
        <f>'5 день'!B17</f>
        <v>125</v>
      </c>
      <c r="H10" s="68">
        <f>'6 день'!B17</f>
        <v>50.25</v>
      </c>
      <c r="I10" s="68">
        <f>'7 день'!B17</f>
        <v>176</v>
      </c>
      <c r="J10" s="68">
        <f>'8 день'!B17</f>
        <v>156</v>
      </c>
      <c r="K10" s="68">
        <f>'9 день'!B17</f>
        <v>182</v>
      </c>
      <c r="L10" s="68">
        <f>'10 день'!B17</f>
        <v>50</v>
      </c>
      <c r="M10" s="68">
        <f>'11 день'!B17</f>
        <v>99</v>
      </c>
      <c r="N10" s="68">
        <f>'12 день'!B17</f>
        <v>101.05</v>
      </c>
      <c r="O10" s="69">
        <f t="shared" si="1"/>
        <v>1421.35</v>
      </c>
      <c r="P10" s="68">
        <f t="shared" si="2"/>
        <v>118.44583333333333</v>
      </c>
      <c r="Q10" s="68">
        <f t="shared" si="0"/>
        <v>-31.554166666666674</v>
      </c>
      <c r="S10" s="19" t="s">
        <v>54</v>
      </c>
      <c r="T10" s="18">
        <f t="shared" si="3"/>
        <v>2842.7</v>
      </c>
      <c r="U10" s="20">
        <f t="shared" si="4"/>
        <v>118.44583333333333</v>
      </c>
      <c r="V10" s="20">
        <f t="shared" si="5"/>
        <v>118.44583333333333</v>
      </c>
      <c r="W10" s="20">
        <f>V10*2.8/100</f>
        <v>3.3164833333333332</v>
      </c>
      <c r="X10" s="20">
        <f>V10*2.5/100</f>
        <v>2.9611458333333331</v>
      </c>
      <c r="Y10" s="20">
        <f>V10*4.7/100</f>
        <v>5.5669541666666671</v>
      </c>
      <c r="Z10" s="20">
        <f>V10*52/100</f>
        <v>61.591833333333327</v>
      </c>
    </row>
    <row r="11" spans="1:26" ht="16.5" thickBot="1">
      <c r="A11" s="17" t="s">
        <v>114</v>
      </c>
      <c r="B11" s="22">
        <v>75</v>
      </c>
      <c r="C11" s="68">
        <f>'1 день'!B51</f>
        <v>181</v>
      </c>
      <c r="D11" s="68">
        <f>'2 день'!B51</f>
        <v>0</v>
      </c>
      <c r="E11" s="68">
        <f>'3 день'!B51</f>
        <v>0</v>
      </c>
      <c r="F11" s="68">
        <f>'4 день'!B51</f>
        <v>181</v>
      </c>
      <c r="G11" s="68">
        <f>'5 день'!B51</f>
        <v>0</v>
      </c>
      <c r="H11" s="68">
        <f>'6 день'!B51</f>
        <v>181</v>
      </c>
      <c r="I11" s="68">
        <f>'7 день'!B51</f>
        <v>0</v>
      </c>
      <c r="J11" s="68">
        <f>'8 день'!B51</f>
        <v>181</v>
      </c>
      <c r="K11" s="68">
        <f>'9 день'!B51</f>
        <v>0</v>
      </c>
      <c r="L11" s="68">
        <f>'10 день'!B51</f>
        <v>0</v>
      </c>
      <c r="M11" s="68">
        <f>'11 день'!B51</f>
        <v>181</v>
      </c>
      <c r="N11" s="68">
        <f>'12 день'!B51</f>
        <v>0</v>
      </c>
      <c r="O11" s="69">
        <f t="shared" si="1"/>
        <v>905</v>
      </c>
      <c r="P11" s="68">
        <f t="shared" si="2"/>
        <v>75.416666666666671</v>
      </c>
      <c r="Q11" s="70">
        <f t="shared" si="0"/>
        <v>0.4166666666666714</v>
      </c>
      <c r="S11" s="19" t="s">
        <v>114</v>
      </c>
      <c r="T11" s="18">
        <f t="shared" si="3"/>
        <v>1810</v>
      </c>
      <c r="U11" s="20">
        <f t="shared" si="4"/>
        <v>75.416666666666671</v>
      </c>
      <c r="V11" s="20">
        <f t="shared" si="5"/>
        <v>75.416666666666671</v>
      </c>
      <c r="W11" s="20">
        <f>V11*2.8/100</f>
        <v>2.1116666666666664</v>
      </c>
      <c r="X11" s="20">
        <f>V11*2.5/100</f>
        <v>1.885416666666667</v>
      </c>
      <c r="Y11" s="20">
        <f>V11*4.7/100</f>
        <v>3.5445833333333336</v>
      </c>
      <c r="Z11" s="20">
        <f>V11*52/100</f>
        <v>39.216666666666669</v>
      </c>
    </row>
    <row r="12" spans="1:26" ht="16.5" thickBot="1">
      <c r="A12" s="17" t="s">
        <v>26</v>
      </c>
      <c r="B12" s="22">
        <v>25</v>
      </c>
      <c r="C12" s="68">
        <f>'1 день'!B19</f>
        <v>0</v>
      </c>
      <c r="D12" s="68">
        <f>'2 день'!B19</f>
        <v>0</v>
      </c>
      <c r="E12" s="68">
        <f>'3 день'!B19</f>
        <v>94.6</v>
      </c>
      <c r="F12" s="68">
        <f>'4 день'!B19</f>
        <v>0</v>
      </c>
      <c r="G12" s="68">
        <f>'5 день'!B19</f>
        <v>0</v>
      </c>
      <c r="H12" s="68">
        <f>'6 день'!B19</f>
        <v>100.4</v>
      </c>
      <c r="I12" s="68">
        <f>'7 день'!B19</f>
        <v>0</v>
      </c>
      <c r="J12" s="68">
        <f>'8 день'!B19</f>
        <v>0</v>
      </c>
      <c r="K12" s="68">
        <f>'9 день'!B19</f>
        <v>0</v>
      </c>
      <c r="L12" s="68">
        <f>'10 день'!B19</f>
        <v>94.6</v>
      </c>
      <c r="M12" s="68">
        <f>'11 день'!B19</f>
        <v>0</v>
      </c>
      <c r="N12" s="68">
        <f>'12 день'!B19</f>
        <v>0</v>
      </c>
      <c r="O12" s="69">
        <f t="shared" si="1"/>
        <v>289.60000000000002</v>
      </c>
      <c r="P12" s="68">
        <f t="shared" si="2"/>
        <v>24.133333333333336</v>
      </c>
      <c r="Q12" s="70">
        <f t="shared" si="0"/>
        <v>-0.86666666666666359</v>
      </c>
      <c r="S12" s="19" t="s">
        <v>26</v>
      </c>
      <c r="T12" s="18">
        <f t="shared" si="3"/>
        <v>579.20000000000005</v>
      </c>
      <c r="U12" s="20">
        <f t="shared" si="4"/>
        <v>24.133333333333336</v>
      </c>
      <c r="V12" s="20">
        <f t="shared" si="5"/>
        <v>24.133333333333336</v>
      </c>
      <c r="W12" s="20">
        <f>V12*16.7/100</f>
        <v>4.0302666666666669</v>
      </c>
      <c r="X12" s="20">
        <f>V12*9/100</f>
        <v>2.1720000000000002</v>
      </c>
      <c r="Y12" s="20">
        <f>V12*2/100</f>
        <v>0.48266666666666674</v>
      </c>
      <c r="Z12" s="20">
        <f>V12*156/100</f>
        <v>37.648000000000003</v>
      </c>
    </row>
    <row r="13" spans="1:26" ht="16.5" thickBot="1">
      <c r="A13" s="17" t="s">
        <v>27</v>
      </c>
      <c r="B13" s="22">
        <v>5</v>
      </c>
      <c r="C13" s="68">
        <f>'1 день'!B20</f>
        <v>0</v>
      </c>
      <c r="D13" s="68">
        <f>'2 день'!B20</f>
        <v>13.2</v>
      </c>
      <c r="E13" s="68">
        <f>'3 день'!B20</f>
        <v>0</v>
      </c>
      <c r="F13" s="68">
        <f>'4 день'!B20</f>
        <v>0</v>
      </c>
      <c r="G13" s="68">
        <f>'5 день'!B20</f>
        <v>13.2</v>
      </c>
      <c r="H13" s="68">
        <f>'6 день'!B20</f>
        <v>0</v>
      </c>
      <c r="I13" s="68">
        <f>'7 день'!B20</f>
        <v>0</v>
      </c>
      <c r="J13" s="68">
        <f>'8 день'!B20</f>
        <v>0</v>
      </c>
      <c r="K13" s="68">
        <f>'9 день'!B20</f>
        <v>13.2</v>
      </c>
      <c r="L13" s="68">
        <f>'10 день'!B20</f>
        <v>0</v>
      </c>
      <c r="M13" s="68">
        <f>'11 день'!B20</f>
        <v>0</v>
      </c>
      <c r="N13" s="68">
        <f>'12 день'!B20</f>
        <v>13.2</v>
      </c>
      <c r="O13" s="69">
        <f t="shared" si="1"/>
        <v>52.8</v>
      </c>
      <c r="P13" s="68">
        <f t="shared" si="2"/>
        <v>4.3999999999999995</v>
      </c>
      <c r="Q13" s="70">
        <f t="shared" si="0"/>
        <v>-0.60000000000000053</v>
      </c>
      <c r="S13" s="19" t="s">
        <v>27</v>
      </c>
      <c r="T13" s="18">
        <f t="shared" si="3"/>
        <v>105.6</v>
      </c>
      <c r="U13" s="20">
        <f t="shared" si="4"/>
        <v>4.3999999999999995</v>
      </c>
      <c r="V13" s="20">
        <f t="shared" si="5"/>
        <v>4.3999999999999995</v>
      </c>
      <c r="W13" s="20">
        <f>V13*23/100</f>
        <v>1.0119999999999998</v>
      </c>
      <c r="X13" s="20">
        <f>V13*29/100</f>
        <v>1.2759999999999998</v>
      </c>
      <c r="Y13" s="20">
        <f>V13*0/100</f>
        <v>0</v>
      </c>
      <c r="Z13" s="20">
        <f>V13*360/100</f>
        <v>15.839999999999998</v>
      </c>
    </row>
    <row r="14" spans="1:26" ht="20.25" customHeight="1" thickBot="1">
      <c r="A14" s="17" t="s">
        <v>25</v>
      </c>
      <c r="B14" s="22">
        <v>5</v>
      </c>
      <c r="C14" s="68">
        <f>'1 день'!B18</f>
        <v>0</v>
      </c>
      <c r="D14" s="68">
        <f>'2 день'!B18</f>
        <v>8</v>
      </c>
      <c r="E14" s="68">
        <f>'3 день'!B18</f>
        <v>4</v>
      </c>
      <c r="F14" s="68">
        <f>'4 день'!B18</f>
        <v>8</v>
      </c>
      <c r="G14" s="68">
        <f>'5 день'!B18</f>
        <v>8</v>
      </c>
      <c r="H14" s="68">
        <f>'6 день'!B18</f>
        <v>8</v>
      </c>
      <c r="I14" s="68">
        <f>'7 день'!B18</f>
        <v>0</v>
      </c>
      <c r="J14" s="68">
        <f>'8 день'!B18</f>
        <v>0</v>
      </c>
      <c r="K14" s="68">
        <f>'9 день'!B18</f>
        <v>8</v>
      </c>
      <c r="L14" s="68">
        <f>'10 день'!B18</f>
        <v>12</v>
      </c>
      <c r="M14" s="68">
        <f>'11 день'!B18</f>
        <v>0</v>
      </c>
      <c r="N14" s="68">
        <f>'12 день'!B18</f>
        <v>8</v>
      </c>
      <c r="O14" s="69">
        <f t="shared" si="1"/>
        <v>64</v>
      </c>
      <c r="P14" s="68">
        <f t="shared" si="2"/>
        <v>5.333333333333333</v>
      </c>
      <c r="Q14" s="70">
        <f t="shared" si="0"/>
        <v>0.33333333333333304</v>
      </c>
      <c r="S14" s="19" t="s">
        <v>25</v>
      </c>
      <c r="T14" s="18">
        <f t="shared" si="3"/>
        <v>128</v>
      </c>
      <c r="U14" s="20">
        <f t="shared" si="4"/>
        <v>5.333333333333333</v>
      </c>
      <c r="V14" s="20">
        <f t="shared" si="5"/>
        <v>5.333333333333333</v>
      </c>
      <c r="W14" s="20">
        <f>V14*2.8/100</f>
        <v>0.14933333333333332</v>
      </c>
      <c r="X14" s="20">
        <f>V14*20/100</f>
        <v>1.0666666666666667</v>
      </c>
      <c r="Y14" s="20">
        <f>V14*3.2/100</f>
        <v>0.17066666666666666</v>
      </c>
      <c r="Z14" s="20">
        <f>V14*118/100</f>
        <v>6.293333333333333</v>
      </c>
    </row>
    <row r="15" spans="1:26" ht="16.5" thickBot="1">
      <c r="A15" s="17" t="s">
        <v>14</v>
      </c>
      <c r="B15" s="22">
        <v>23.5</v>
      </c>
      <c r="C15" s="68">
        <f>'1 день'!B21</f>
        <v>0</v>
      </c>
      <c r="D15" s="68">
        <f>'2 день'!B21</f>
        <v>85.5</v>
      </c>
      <c r="E15" s="68">
        <f>'3 день'!B21</f>
        <v>52.550000000000004</v>
      </c>
      <c r="F15" s="68">
        <f>'4 день'!B21</f>
        <v>0</v>
      </c>
      <c r="G15" s="68">
        <f>'5 день'!B21</f>
        <v>0</v>
      </c>
      <c r="H15" s="68">
        <f>'6 день'!B21</f>
        <v>8.5</v>
      </c>
      <c r="I15" s="68">
        <f>'7 день'!B21</f>
        <v>58.85</v>
      </c>
      <c r="J15" s="68">
        <f>'8 день'!B21</f>
        <v>0</v>
      </c>
      <c r="K15" s="68">
        <f>'9 день'!B21</f>
        <v>0</v>
      </c>
      <c r="L15" s="68">
        <f>'10 день'!B21</f>
        <v>3.2</v>
      </c>
      <c r="M15" s="68">
        <f>'11 день'!B21</f>
        <v>0</v>
      </c>
      <c r="N15" s="68">
        <f>'12 день'!B21</f>
        <v>85.5</v>
      </c>
      <c r="O15" s="69">
        <f t="shared" si="1"/>
        <v>294.10000000000002</v>
      </c>
      <c r="P15" s="68">
        <f t="shared" si="2"/>
        <v>24.508333333333336</v>
      </c>
      <c r="Q15" s="70">
        <f t="shared" si="0"/>
        <v>1.0083333333333364</v>
      </c>
      <c r="S15" s="19" t="s">
        <v>14</v>
      </c>
      <c r="T15" s="18">
        <f t="shared" si="3"/>
        <v>588.20000000000005</v>
      </c>
      <c r="U15" s="20">
        <f t="shared" si="4"/>
        <v>24.508333333333336</v>
      </c>
      <c r="V15" s="20">
        <f>U15*87/100</f>
        <v>21.322250000000004</v>
      </c>
      <c r="W15" s="20">
        <f>V15*12.7/100</f>
        <v>2.7079257500000007</v>
      </c>
      <c r="X15" s="20">
        <f>V15*11/100</f>
        <v>2.3454475000000006</v>
      </c>
      <c r="Y15" s="20">
        <f>V15*0.1/100</f>
        <v>2.1322250000000004E-2</v>
      </c>
      <c r="Z15" s="20">
        <f>V15*157/100</f>
        <v>33.475932500000006</v>
      </c>
    </row>
    <row r="16" spans="1:26" ht="16.5" thickBot="1">
      <c r="A16" s="17" t="s">
        <v>69</v>
      </c>
      <c r="B16" s="22">
        <v>7.5</v>
      </c>
      <c r="C16" s="68">
        <f>'1 день'!B22</f>
        <v>35.5</v>
      </c>
      <c r="D16" s="68">
        <f>'2 день'!B22</f>
        <v>0</v>
      </c>
      <c r="E16" s="68">
        <f>'3 день'!B22</f>
        <v>0</v>
      </c>
      <c r="F16" s="68">
        <f>'4 день'!B22</f>
        <v>3</v>
      </c>
      <c r="G16" s="68">
        <f>'5 день'!B22</f>
        <v>0</v>
      </c>
      <c r="H16" s="68">
        <f>'6 день'!B22</f>
        <v>47.5</v>
      </c>
      <c r="I16" s="68">
        <f>'7 день'!B22</f>
        <v>16.8</v>
      </c>
      <c r="J16" s="68">
        <f>'8 день'!B22</f>
        <v>0</v>
      </c>
      <c r="K16" s="68">
        <f>'9 день'!B22</f>
        <v>5.3</v>
      </c>
      <c r="L16" s="68">
        <f>'10 день'!B22</f>
        <v>0</v>
      </c>
      <c r="M16" s="68">
        <f>'11 день'!B22</f>
        <v>0</v>
      </c>
      <c r="N16" s="68">
        <f>'12 день'!B22</f>
        <v>0</v>
      </c>
      <c r="O16" s="69">
        <f t="shared" si="1"/>
        <v>108.1</v>
      </c>
      <c r="P16" s="68">
        <f t="shared" si="2"/>
        <v>9.0083333333333329</v>
      </c>
      <c r="Q16" s="70">
        <f t="shared" si="0"/>
        <v>1.5083333333333329</v>
      </c>
      <c r="S16" s="19" t="s">
        <v>69</v>
      </c>
      <c r="T16" s="18">
        <f t="shared" si="3"/>
        <v>216.2</v>
      </c>
      <c r="U16" s="20">
        <f t="shared" si="4"/>
        <v>9.0083333333333329</v>
      </c>
      <c r="V16" s="20">
        <f t="shared" ref="V16:V22" si="6">U16</f>
        <v>9.0083333333333329</v>
      </c>
      <c r="W16" s="20">
        <f>V16*10.3/100</f>
        <v>0.92785833333333334</v>
      </c>
      <c r="X16" s="20">
        <f>V16*1.1/100</f>
        <v>9.9091666666666675E-2</v>
      </c>
      <c r="Y16" s="20">
        <f>V16*69/100</f>
        <v>6.215749999999999</v>
      </c>
      <c r="Z16" s="20">
        <f>V16*334/100</f>
        <v>30.087833333333332</v>
      </c>
    </row>
    <row r="17" spans="1:26" ht="19.5" customHeight="1" thickBot="1">
      <c r="A17" s="17" t="s">
        <v>111</v>
      </c>
      <c r="B17" s="22">
        <v>23.5</v>
      </c>
      <c r="C17" s="68">
        <f>'1 день'!B24+'1 день'!B25+'1 день'!B26+'1 день'!B27+'1 день'!B28+'1 день'!B29+'1 день'!B31</f>
        <v>53.5</v>
      </c>
      <c r="D17" s="68">
        <f>'2 день'!B24+'2 день'!B25+'2 день'!B26+'2 день'!B27+'2 день'!B28+'2 день'!B29+'2 день'!B31</f>
        <v>9.6</v>
      </c>
      <c r="E17" s="68">
        <f>'3 день'!B24+'3 день'!B25+'3 день'!B26+'3 день'!B27+'3 день'!B28+'3 день'!B29+'3 день'!B31</f>
        <v>60.7</v>
      </c>
      <c r="F17" s="68">
        <f>'4 день'!B24+'4 день'!B25+'4 день'!B26+'4 день'!B27+'4 день'!B28+'4 день'!B29+'4 день'!B31</f>
        <v>27.1</v>
      </c>
      <c r="G17" s="68">
        <f>'5 день'!B24+'5 день'!B25+'5 день'!B26+'5 день'!B27+'5 день'!B28+'5 день'!B29+'5 день'!B31</f>
        <v>18.600000000000001</v>
      </c>
      <c r="H17" s="68">
        <f>'6 день'!B24+'6 день'!B25+'6 день'!B26+'6 день'!B27+'6 день'!B28+'6 день'!B29++'6 день'!B31</f>
        <v>0</v>
      </c>
      <c r="I17" s="68">
        <f>'7 день'!B24+'7 день'!B25+'7 день'!B26+'7 день'!B27+'7 день'!B28+'7 день'!B29+'7 день'!B31</f>
        <v>30</v>
      </c>
      <c r="J17" s="68">
        <f>'8 день'!B24+'8 день'!B25+'8 день'!B26+'8 день'!B27+'8 день'!B28+'8 день'!B29+'8 день'!B31</f>
        <v>39.1</v>
      </c>
      <c r="K17" s="68">
        <f>'9 день'!B24+'9 день'!B25+'9 день'!B26+'9 день'!B27+'9 день'!B28+'9 день'!B29+'9 день'!B31</f>
        <v>39.4</v>
      </c>
      <c r="L17" s="68">
        <f>'10 день'!B24+'10 день'!B25+'10 день'!B26+'10 день'!B27+'10 день'!B28+'10 день'!B29+'10 день'!B31</f>
        <v>45.7</v>
      </c>
      <c r="M17" s="68">
        <f>'11 день'!B24+'11 день'!B25+'11 день'!B26+'11 день'!B27+'11 день'!B28+'11 день'!B29+'11 день'!B31</f>
        <v>9</v>
      </c>
      <c r="N17" s="68">
        <f>'12 день'!B24+'12 день'!B25+'12 день'!B26+'12 день'!B27+'12 день'!B28+'12 день'!B29+'12 день'!B31</f>
        <v>0</v>
      </c>
      <c r="O17" s="69">
        <f t="shared" si="1"/>
        <v>332.7</v>
      </c>
      <c r="P17" s="68">
        <f t="shared" si="2"/>
        <v>27.724999999999998</v>
      </c>
      <c r="Q17" s="71">
        <f t="shared" si="0"/>
        <v>4.2249999999999979</v>
      </c>
      <c r="S17" s="19" t="s">
        <v>70</v>
      </c>
      <c r="T17" s="18">
        <f t="shared" si="3"/>
        <v>665.4</v>
      </c>
      <c r="U17" s="20">
        <f t="shared" si="4"/>
        <v>27.724999999999998</v>
      </c>
      <c r="V17" s="20">
        <f t="shared" si="6"/>
        <v>27.724999999999998</v>
      </c>
      <c r="W17" s="20">
        <f>V17*11.2/100</f>
        <v>3.1052</v>
      </c>
      <c r="X17" s="20">
        <f>V17*2.4/100</f>
        <v>0.66539999999999988</v>
      </c>
      <c r="Y17" s="20">
        <f>V17*66/100</f>
        <v>18.298500000000001</v>
      </c>
      <c r="Z17" s="20">
        <f>V17*331.4/100</f>
        <v>91.880649999999989</v>
      </c>
    </row>
    <row r="18" spans="1:26" ht="19.5" customHeight="1" thickBot="1">
      <c r="A18" s="17" t="s">
        <v>112</v>
      </c>
      <c r="B18" s="22">
        <v>7.5</v>
      </c>
      <c r="C18" s="68">
        <f>'1 день'!B30</f>
        <v>0</v>
      </c>
      <c r="D18" s="68">
        <f>'2 день'!B30</f>
        <v>0</v>
      </c>
      <c r="E18" s="68">
        <f>'3 день'!B30</f>
        <v>0</v>
      </c>
      <c r="F18" s="68">
        <f>'4 день'!B30</f>
        <v>0</v>
      </c>
      <c r="G18" s="68">
        <f>'5 день'!B30</f>
        <v>52.5</v>
      </c>
      <c r="H18" s="68">
        <f>'6 день'!B30</f>
        <v>0</v>
      </c>
      <c r="I18" s="68">
        <f>'7 день'!B30</f>
        <v>0</v>
      </c>
      <c r="J18" s="68">
        <f>'8 день'!B30</f>
        <v>0</v>
      </c>
      <c r="K18" s="68">
        <f>'9 день'!B30</f>
        <v>52.5</v>
      </c>
      <c r="L18" s="68">
        <f>'10 день'!B30</f>
        <v>0</v>
      </c>
      <c r="M18" s="68">
        <f>'11 день'!B30</f>
        <v>10.4</v>
      </c>
      <c r="N18" s="68">
        <f>'12 день'!B30</f>
        <v>0</v>
      </c>
      <c r="O18" s="69">
        <f t="shared" si="1"/>
        <v>115.4</v>
      </c>
      <c r="P18" s="68">
        <f t="shared" si="2"/>
        <v>9.6166666666666671</v>
      </c>
      <c r="Q18" s="71">
        <f t="shared" si="0"/>
        <v>2.1166666666666671</v>
      </c>
      <c r="S18" s="19" t="s">
        <v>112</v>
      </c>
      <c r="T18" s="18">
        <f>O18*2</f>
        <v>230.8</v>
      </c>
      <c r="U18" s="20">
        <f t="shared" si="4"/>
        <v>9.6166666666666671</v>
      </c>
      <c r="V18" s="20">
        <f t="shared" si="6"/>
        <v>9.6166666666666671</v>
      </c>
      <c r="W18" s="20">
        <f>V18*11.2/100</f>
        <v>1.0770666666666666</v>
      </c>
      <c r="X18" s="20">
        <f>V18*2.4/100</f>
        <v>0.23080000000000001</v>
      </c>
      <c r="Y18" s="20">
        <f>V18*66/100</f>
        <v>6.3470000000000004</v>
      </c>
      <c r="Z18" s="20">
        <f>V18*331.4/100</f>
        <v>31.869633333333333</v>
      </c>
    </row>
    <row r="19" spans="1:26" ht="16.5" thickBot="1">
      <c r="A19" s="17" t="s">
        <v>38</v>
      </c>
      <c r="B19" s="22">
        <v>20</v>
      </c>
      <c r="C19" s="68">
        <f>'1 день'!B32</f>
        <v>32.799999999999997</v>
      </c>
      <c r="D19" s="68">
        <f>'2 день'!B32</f>
        <v>47</v>
      </c>
      <c r="E19" s="68">
        <f>'3 день'!B32</f>
        <v>42.7</v>
      </c>
      <c r="F19" s="68">
        <f>'4 день'!B32</f>
        <v>20</v>
      </c>
      <c r="G19" s="68">
        <f>'5 день'!B32</f>
        <v>38.799999999999997</v>
      </c>
      <c r="H19" s="68">
        <f>'6 день'!B32</f>
        <v>34.699999999999996</v>
      </c>
      <c r="I19" s="68">
        <f>'7 день'!B32</f>
        <v>25.7</v>
      </c>
      <c r="J19" s="68">
        <f>'8 день'!B32</f>
        <v>35</v>
      </c>
      <c r="K19" s="68">
        <f>'9 день'!B32</f>
        <v>20</v>
      </c>
      <c r="L19" s="68">
        <f>'10 день'!B32</f>
        <v>47.9</v>
      </c>
      <c r="M19" s="68">
        <f>'11 день'!B32</f>
        <v>14.8</v>
      </c>
      <c r="N19" s="68">
        <f>'12 день'!B32</f>
        <v>40.4</v>
      </c>
      <c r="O19" s="69">
        <f t="shared" si="1"/>
        <v>399.79999999999995</v>
      </c>
      <c r="P19" s="68">
        <f t="shared" si="2"/>
        <v>33.316666666666663</v>
      </c>
      <c r="Q19" s="71">
        <f t="shared" si="0"/>
        <v>13.316666666666663</v>
      </c>
      <c r="S19" s="19" t="s">
        <v>38</v>
      </c>
      <c r="T19" s="18">
        <f t="shared" si="3"/>
        <v>799.59999999999991</v>
      </c>
      <c r="U19" s="20">
        <f t="shared" si="4"/>
        <v>33.316666666666663</v>
      </c>
      <c r="V19" s="20">
        <f t="shared" si="6"/>
        <v>33.316666666666663</v>
      </c>
      <c r="W19" s="20">
        <f>V19*0</f>
        <v>0</v>
      </c>
      <c r="X19" s="20">
        <f>V19*0</f>
        <v>0</v>
      </c>
      <c r="Y19" s="20">
        <f>V19*99.8/100</f>
        <v>33.250033333333327</v>
      </c>
      <c r="Z19" s="20">
        <f>V19*374/100</f>
        <v>124.60433333333333</v>
      </c>
    </row>
    <row r="20" spans="1:26" ht="17.25" customHeight="1" thickBot="1">
      <c r="A20" s="17" t="s">
        <v>71</v>
      </c>
      <c r="B20" s="22">
        <v>5</v>
      </c>
      <c r="C20" s="68">
        <f>'1 день'!B34</f>
        <v>10</v>
      </c>
      <c r="D20" s="68">
        <f>'2 день'!B34</f>
        <v>0</v>
      </c>
      <c r="E20" s="68">
        <f>'3 день'!B34</f>
        <v>20</v>
      </c>
      <c r="F20" s="68">
        <f>'4 день'!B34</f>
        <v>0</v>
      </c>
      <c r="G20" s="68">
        <f>'5 день'!B34</f>
        <v>10</v>
      </c>
      <c r="H20" s="68">
        <f>'6 день'!B34</f>
        <v>0</v>
      </c>
      <c r="I20" s="68">
        <f>'7 день'!B34</f>
        <v>10</v>
      </c>
      <c r="J20" s="68">
        <f>'8 день'!B34</f>
        <v>0</v>
      </c>
      <c r="K20" s="68">
        <f>'9 день'!B34</f>
        <v>10</v>
      </c>
      <c r="L20" s="68">
        <f>'10 день'!B34</f>
        <v>0</v>
      </c>
      <c r="M20" s="68">
        <f>'11 день'!B34</f>
        <v>10</v>
      </c>
      <c r="N20" s="68">
        <f>'12 день'!B34</f>
        <v>0</v>
      </c>
      <c r="O20" s="69">
        <f t="shared" si="1"/>
        <v>70</v>
      </c>
      <c r="P20" s="68">
        <f t="shared" si="2"/>
        <v>5.833333333333333</v>
      </c>
      <c r="Q20" s="70">
        <f t="shared" si="0"/>
        <v>0.83333333333333304</v>
      </c>
      <c r="S20" s="19" t="s">
        <v>71</v>
      </c>
      <c r="T20" s="18">
        <f t="shared" si="3"/>
        <v>140</v>
      </c>
      <c r="U20" s="20">
        <f t="shared" si="4"/>
        <v>5.833333333333333</v>
      </c>
      <c r="V20" s="20">
        <f t="shared" si="6"/>
        <v>5.833333333333333</v>
      </c>
      <c r="W20" s="20">
        <f>V20*3/100</f>
        <v>0.17499999999999999</v>
      </c>
      <c r="X20" s="20">
        <f>V20*2.7/100</f>
        <v>0.1575</v>
      </c>
      <c r="Y20" s="20">
        <f>V20*82.3/100</f>
        <v>4.8008333333333333</v>
      </c>
      <c r="Z20" s="20">
        <f>V20*355.8/100</f>
        <v>20.754999999999999</v>
      </c>
    </row>
    <row r="21" spans="1:26" ht="17.25" customHeight="1" thickBot="1">
      <c r="A21" s="17" t="s">
        <v>113</v>
      </c>
      <c r="B21" s="22">
        <v>100</v>
      </c>
      <c r="C21" s="68">
        <f>'1 день'!B49</f>
        <v>200</v>
      </c>
      <c r="D21" s="68">
        <f>'2 день'!B49</f>
        <v>0</v>
      </c>
      <c r="E21" s="68">
        <f>'3 день'!B49</f>
        <v>0</v>
      </c>
      <c r="F21" s="68">
        <f>'4 день'!B49</f>
        <v>200</v>
      </c>
      <c r="G21" s="68">
        <f>'5 день'!B49</f>
        <v>0</v>
      </c>
      <c r="H21" s="68">
        <f>'6 день'!B49</f>
        <v>200</v>
      </c>
      <c r="I21" s="68">
        <f>'7 день'!B49</f>
        <v>200</v>
      </c>
      <c r="J21" s="68">
        <f>'8 день'!B49</f>
        <v>0</v>
      </c>
      <c r="K21" s="68">
        <f>'9 день'!B49</f>
        <v>200</v>
      </c>
      <c r="L21" s="68">
        <f>'10 день'!B49</f>
        <v>0</v>
      </c>
      <c r="M21" s="68">
        <f>'11 день'!B49</f>
        <v>200</v>
      </c>
      <c r="N21" s="68">
        <f>'12 день'!B49</f>
        <v>0</v>
      </c>
      <c r="O21" s="69">
        <f t="shared" si="1"/>
        <v>1200</v>
      </c>
      <c r="P21" s="68">
        <f>O21/12</f>
        <v>100</v>
      </c>
      <c r="Q21" s="70">
        <f t="shared" si="0"/>
        <v>0</v>
      </c>
      <c r="S21" s="19" t="s">
        <v>113</v>
      </c>
      <c r="T21" s="18">
        <f t="shared" si="3"/>
        <v>2400</v>
      </c>
      <c r="U21" s="20">
        <f t="shared" si="4"/>
        <v>100</v>
      </c>
      <c r="V21" s="20">
        <f t="shared" si="6"/>
        <v>100</v>
      </c>
      <c r="W21" s="20">
        <f>V21*0.7/100</f>
        <v>0.7</v>
      </c>
      <c r="X21" s="20">
        <f>V21*0</f>
        <v>0</v>
      </c>
      <c r="Y21" s="20">
        <f>V21*6.9/100</f>
        <v>6.9</v>
      </c>
      <c r="Z21" s="20">
        <f>V21*31/100</f>
        <v>31</v>
      </c>
    </row>
    <row r="22" spans="1:26" ht="19.5" customHeight="1" thickBot="1">
      <c r="A22" s="17" t="s">
        <v>41</v>
      </c>
      <c r="B22" s="22">
        <v>7.5</v>
      </c>
      <c r="C22" s="68">
        <f>'1 день'!B35</f>
        <v>20</v>
      </c>
      <c r="D22" s="68">
        <f>'2 день'!B35</f>
        <v>0</v>
      </c>
      <c r="E22" s="68">
        <f>'3 день'!B35</f>
        <v>0</v>
      </c>
      <c r="F22" s="68">
        <f>'4 день'!B35</f>
        <v>20</v>
      </c>
      <c r="G22" s="68">
        <f>'5 день'!B35</f>
        <v>0</v>
      </c>
      <c r="H22" s="68">
        <f>'6 день'!B35</f>
        <v>0</v>
      </c>
      <c r="I22" s="68">
        <f>'7 день'!B35</f>
        <v>0</v>
      </c>
      <c r="J22" s="68">
        <f>'8 день'!B35</f>
        <v>20</v>
      </c>
      <c r="K22" s="68">
        <f>'9 день'!B35</f>
        <v>0</v>
      </c>
      <c r="L22" s="68">
        <f>'10 день'!B35</f>
        <v>20</v>
      </c>
      <c r="M22" s="68">
        <f>'11 день'!B35</f>
        <v>0</v>
      </c>
      <c r="N22" s="68">
        <f>'12 день'!B35</f>
        <v>0</v>
      </c>
      <c r="O22" s="69">
        <f t="shared" si="1"/>
        <v>80</v>
      </c>
      <c r="P22" s="68">
        <f t="shared" si="2"/>
        <v>6.666666666666667</v>
      </c>
      <c r="Q22" s="70">
        <f t="shared" si="0"/>
        <v>-0.83333333333333304</v>
      </c>
      <c r="S22" s="19" t="s">
        <v>41</v>
      </c>
      <c r="T22" s="18">
        <f t="shared" si="3"/>
        <v>160</v>
      </c>
      <c r="U22" s="20">
        <f t="shared" si="4"/>
        <v>6.666666666666667</v>
      </c>
      <c r="V22" s="20">
        <f t="shared" si="6"/>
        <v>6.666666666666667</v>
      </c>
      <c r="W22" s="20">
        <f>V22*0.8/100</f>
        <v>5.3333333333333337E-2</v>
      </c>
      <c r="X22" s="20">
        <f>V22*0.2/100</f>
        <v>1.3333333333333334E-2</v>
      </c>
      <c r="Y22" s="20">
        <f>V22*9.5/100</f>
        <v>0.6333333333333333</v>
      </c>
      <c r="Z22" s="20">
        <f>V22*46.6/100</f>
        <v>3.1066666666666669</v>
      </c>
    </row>
    <row r="23" spans="1:26" ht="19.5" customHeight="1" thickBot="1">
      <c r="A23" s="17" t="s">
        <v>42</v>
      </c>
      <c r="B23" s="22">
        <v>100</v>
      </c>
      <c r="C23" s="68">
        <f>'1 день'!B36</f>
        <v>14</v>
      </c>
      <c r="D23" s="68">
        <f>'2 день'!B36</f>
        <v>226</v>
      </c>
      <c r="E23" s="68">
        <f>'3 день'!B36</f>
        <v>0</v>
      </c>
      <c r="F23" s="68">
        <f>'4 день'!B36</f>
        <v>175</v>
      </c>
      <c r="G23" s="68">
        <f>'5 день'!B36</f>
        <v>6</v>
      </c>
      <c r="H23" s="68">
        <f>'6 день'!B36</f>
        <v>183</v>
      </c>
      <c r="I23" s="68">
        <f>'7 день'!B36</f>
        <v>14</v>
      </c>
      <c r="J23" s="68">
        <f>'8 день'!B36</f>
        <v>175</v>
      </c>
      <c r="K23" s="68">
        <f>'9 день'!B36</f>
        <v>0</v>
      </c>
      <c r="L23" s="68">
        <f>'10 день'!B36</f>
        <v>189</v>
      </c>
      <c r="M23" s="68">
        <f>'11 день'!B36</f>
        <v>6</v>
      </c>
      <c r="N23" s="68">
        <f>'12 день'!B36</f>
        <v>175</v>
      </c>
      <c r="O23" s="69">
        <f t="shared" si="1"/>
        <v>1163</v>
      </c>
      <c r="P23" s="68">
        <f t="shared" si="2"/>
        <v>96.916666666666671</v>
      </c>
      <c r="Q23" s="70">
        <f t="shared" si="0"/>
        <v>-3.0833333333333286</v>
      </c>
      <c r="S23" s="19" t="s">
        <v>42</v>
      </c>
      <c r="T23" s="18">
        <f t="shared" si="3"/>
        <v>2326</v>
      </c>
      <c r="U23" s="20">
        <f t="shared" si="4"/>
        <v>96.916666666666671</v>
      </c>
      <c r="V23" s="20">
        <f>U23*88/100</f>
        <v>85.286666666666676</v>
      </c>
      <c r="W23" s="20">
        <f>V23*0.4/100</f>
        <v>0.34114666666666671</v>
      </c>
      <c r="X23" s="20">
        <f>V23*0.4/100</f>
        <v>0.34114666666666671</v>
      </c>
      <c r="Y23" s="20">
        <f>V23*9.8/100</f>
        <v>8.3580933333333345</v>
      </c>
      <c r="Z23" s="20">
        <f>V23*45/100</f>
        <v>38.379000000000005</v>
      </c>
    </row>
    <row r="24" spans="1:26" ht="16.5" customHeight="1" thickBot="1">
      <c r="A24" s="17" t="s">
        <v>43</v>
      </c>
      <c r="B24" s="22">
        <v>125</v>
      </c>
      <c r="C24" s="68">
        <f>'1 день'!B37</f>
        <v>53.6</v>
      </c>
      <c r="D24" s="68">
        <f>'2 день'!B37</f>
        <v>224.6</v>
      </c>
      <c r="E24" s="68">
        <f>'3 день'!B37</f>
        <v>106.4</v>
      </c>
      <c r="F24" s="68">
        <f>'4 день'!B37</f>
        <v>159.69999999999999</v>
      </c>
      <c r="G24" s="68">
        <f>'5 день'!B37</f>
        <v>53.6</v>
      </c>
      <c r="H24" s="68">
        <f>'6 день'!B37</f>
        <v>192.6</v>
      </c>
      <c r="I24" s="68">
        <f>'7 день'!B37</f>
        <v>25</v>
      </c>
      <c r="J24" s="68">
        <f>'8 день'!B37</f>
        <v>242</v>
      </c>
      <c r="K24" s="68">
        <f>'9 день'!B37</f>
        <v>53.6</v>
      </c>
      <c r="L24" s="68">
        <f>'10 день'!B37</f>
        <v>80</v>
      </c>
      <c r="M24" s="68">
        <f>'11 день'!B37</f>
        <v>224.6</v>
      </c>
      <c r="N24" s="68">
        <f>'12 день'!B37</f>
        <v>83.9</v>
      </c>
      <c r="O24" s="69">
        <f t="shared" si="1"/>
        <v>1499.6</v>
      </c>
      <c r="P24" s="68">
        <f t="shared" si="2"/>
        <v>124.96666666666665</v>
      </c>
      <c r="Q24" s="70">
        <f t="shared" si="0"/>
        <v>-3.3333333333345649E-2</v>
      </c>
      <c r="S24" s="19" t="s">
        <v>43</v>
      </c>
      <c r="T24" s="18">
        <f t="shared" si="3"/>
        <v>2999.2</v>
      </c>
      <c r="U24" s="20">
        <f t="shared" si="4"/>
        <v>124.96666666666665</v>
      </c>
      <c r="V24" s="20">
        <f>U24*70/100</f>
        <v>87.476666666666659</v>
      </c>
      <c r="W24" s="20">
        <f>V24*2/100</f>
        <v>1.7495333333333332</v>
      </c>
      <c r="X24" s="20">
        <f>V24*0.4/100</f>
        <v>0.34990666666666664</v>
      </c>
      <c r="Y24" s="20">
        <f>V24*17.3/100</f>
        <v>15.133463333333331</v>
      </c>
      <c r="Z24" s="20">
        <f>V24*80/100</f>
        <v>69.981333333333339</v>
      </c>
    </row>
    <row r="25" spans="1:26" ht="18" customHeight="1" thickBot="1">
      <c r="A25" s="17" t="s">
        <v>72</v>
      </c>
      <c r="B25" s="22">
        <v>175</v>
      </c>
      <c r="C25" s="68">
        <f>'1 день'!B38+'1 день'!B39+'1 день'!B40+'1 день'!B41+'1 день'!B42+'1 день'!B43+'1 день'!B48</f>
        <v>309.34999999999997</v>
      </c>
      <c r="D25" s="68">
        <f>'2 день'!B38+'2 день'!B39+'2 день'!B40+'2 день'!B41+'2 день'!B42+'2 день'!B43+'2 день'!B48</f>
        <v>104.79999999999998</v>
      </c>
      <c r="E25" s="68">
        <f>'3 день'!B38+'3 день'!B39+'3 день'!B40+'3 день'!B41+'3 день'!B42+'3 день'!B43+'3 день'!B48</f>
        <v>166.9</v>
      </c>
      <c r="F25" s="68">
        <f>'4 день'!B38+'4 день'!B39+'4 день'!B40+'4 день'!B41+'4 день'!B42+'4 день'!B43+'4 день'!B48</f>
        <v>213.4</v>
      </c>
      <c r="G25" s="68">
        <f>'5 день'!B38+'5 день'!B39+'5 день'!B40+'5 день'!B41+'5 день'!B42+'5 день'!B43+'5 день'!B48</f>
        <v>191.05</v>
      </c>
      <c r="H25" s="68">
        <f>'6 день'!B38+'6 день'!B39+'6 день'!B40+'6 день'!B41+'6 день'!B42+'6 день'!B43+'6 день'!B48</f>
        <v>158.80000000000001</v>
      </c>
      <c r="I25" s="68">
        <f>'7 день'!B38+'7 день'!B39+'7 день'!B40+'7 день'!B41+'7 день'!B42+'7 день'!B43+'7 день'!B48</f>
        <v>318.15000000000003</v>
      </c>
      <c r="J25" s="68">
        <f>'8 день'!B38+'8 день'!B39+'8 день'!B40+'8 день'!B41+'8 день'!B42+'8 день'!B43+'8 день'!B48</f>
        <v>90.700000000000017</v>
      </c>
      <c r="K25" s="68">
        <f>'9 день'!B38+'9 день'!B39+'9 день'!B40+'9 день'!B41+'9 день'!B42+'9 день'!B43+'9 день'!B48</f>
        <v>94.199999999999989</v>
      </c>
      <c r="L25" s="68">
        <f>'10 день'!B38+'10 день'!B39+'10 день'!B40+'10 день'!B41+'10 день'!B42+'10 день'!B43+'10 день'!B48</f>
        <v>101.8</v>
      </c>
      <c r="M25" s="68">
        <f>'11 день'!B38+'11 день'!B39+'11 день'!B40+'11 день'!B41+'11 день'!B42+'11 день'!B43+'11 день'!B48</f>
        <v>87.2</v>
      </c>
      <c r="N25" s="68">
        <f>'12 день'!B38+'12 день'!B39+'12 день'!B40+'12 день'!B41+'12 день'!B42+'12 день'!B43+'12 день'!B48</f>
        <v>266.39999999999998</v>
      </c>
      <c r="O25" s="69">
        <f t="shared" si="1"/>
        <v>2102.75</v>
      </c>
      <c r="P25" s="68">
        <f t="shared" si="2"/>
        <v>175.22916666666666</v>
      </c>
      <c r="Q25" s="70">
        <f t="shared" si="0"/>
        <v>0.22916666666665719</v>
      </c>
      <c r="S25" s="19" t="s">
        <v>72</v>
      </c>
      <c r="T25" s="18">
        <f t="shared" si="3"/>
        <v>4205.5</v>
      </c>
      <c r="U25" s="20">
        <f t="shared" si="4"/>
        <v>175.22916666666666</v>
      </c>
      <c r="V25" s="20">
        <f>U25*80/100</f>
        <v>140.18333333333331</v>
      </c>
      <c r="W25" s="20">
        <f>V25*1.5/100</f>
        <v>2.1027499999999999</v>
      </c>
      <c r="X25" s="20">
        <f>V25*0.1/100</f>
        <v>0.1401833333333333</v>
      </c>
      <c r="Y25" s="20">
        <f>V25*8/100</f>
        <v>11.214666666666664</v>
      </c>
      <c r="Z25" s="20">
        <f>V25*34.3/100</f>
        <v>48.082883333333321</v>
      </c>
    </row>
    <row r="26" spans="1:26" ht="15" customHeight="1" thickBot="1">
      <c r="A26" s="17" t="s">
        <v>2</v>
      </c>
      <c r="B26" s="22">
        <v>75</v>
      </c>
      <c r="C26" s="68">
        <f>'1 день'!B44</f>
        <v>50</v>
      </c>
      <c r="D26" s="68">
        <f>'2 день'!B44</f>
        <v>98</v>
      </c>
      <c r="E26" s="68">
        <f>'3 день'!B44</f>
        <v>77.5</v>
      </c>
      <c r="F26" s="68">
        <f>'4 день'!B44</f>
        <v>70</v>
      </c>
      <c r="G26" s="68">
        <f>'5 день'!B44</f>
        <v>70</v>
      </c>
      <c r="H26" s="68">
        <f>'6 день'!B44</f>
        <v>66.25</v>
      </c>
      <c r="I26" s="68">
        <f>'7 день'!B44</f>
        <v>77.5</v>
      </c>
      <c r="J26" s="68">
        <f>'8 день'!B44</f>
        <v>70</v>
      </c>
      <c r="K26" s="68">
        <f>'9 день'!B44</f>
        <v>70</v>
      </c>
      <c r="L26" s="68">
        <f>'10 день'!B44</f>
        <v>74</v>
      </c>
      <c r="M26" s="68">
        <f>'11 день'!B44</f>
        <v>70</v>
      </c>
      <c r="N26" s="68">
        <f>'12 день'!B44</f>
        <v>98</v>
      </c>
      <c r="O26" s="69">
        <f t="shared" si="1"/>
        <v>891.25</v>
      </c>
      <c r="P26" s="68">
        <f t="shared" si="2"/>
        <v>74.270833333333329</v>
      </c>
      <c r="Q26" s="70">
        <f t="shared" si="0"/>
        <v>-0.7291666666666714</v>
      </c>
      <c r="S26" s="19" t="s">
        <v>2</v>
      </c>
      <c r="T26" s="18">
        <f t="shared" si="3"/>
        <v>1782.5</v>
      </c>
      <c r="U26" s="20">
        <f t="shared" si="4"/>
        <v>74.270833333333329</v>
      </c>
      <c r="V26" s="20">
        <f t="shared" ref="V26:V31" si="7">U26</f>
        <v>74.270833333333329</v>
      </c>
      <c r="W26" s="20">
        <f>V26*7.7/100</f>
        <v>5.7188541666666666</v>
      </c>
      <c r="X26" s="20">
        <f>V26*3/100</f>
        <v>2.2281249999999999</v>
      </c>
      <c r="Y26" s="20">
        <f>V26*49.8/100</f>
        <v>36.986874999999998</v>
      </c>
      <c r="Z26" s="20">
        <f>V26*226/100</f>
        <v>167.85208333333333</v>
      </c>
    </row>
    <row r="27" spans="1:26" ht="17.25" customHeight="1" thickBot="1">
      <c r="A27" s="17" t="s">
        <v>3</v>
      </c>
      <c r="B27" s="22">
        <v>40</v>
      </c>
      <c r="C27" s="68">
        <f>'1 день'!B45</f>
        <v>40</v>
      </c>
      <c r="D27" s="68">
        <f>'2 день'!B45</f>
        <v>40</v>
      </c>
      <c r="E27" s="68">
        <f>'3 день'!B45</f>
        <v>40</v>
      </c>
      <c r="F27" s="68">
        <f>'4 день'!B45</f>
        <v>40</v>
      </c>
      <c r="G27" s="68">
        <f>'5 день'!B45</f>
        <v>40</v>
      </c>
      <c r="H27" s="68">
        <f>'6 день'!B45</f>
        <v>40</v>
      </c>
      <c r="I27" s="68">
        <f>'7 день'!B45</f>
        <v>40</v>
      </c>
      <c r="J27" s="68">
        <f>'8 день'!B45</f>
        <v>40</v>
      </c>
      <c r="K27" s="68">
        <f>'9 день'!B45</f>
        <v>40</v>
      </c>
      <c r="L27" s="68">
        <f>'10 день'!B45</f>
        <v>40</v>
      </c>
      <c r="M27" s="68">
        <f>'11 день'!B45</f>
        <v>40</v>
      </c>
      <c r="N27" s="68">
        <f>'12 день'!B45</f>
        <v>40</v>
      </c>
      <c r="O27" s="69">
        <f t="shared" si="1"/>
        <v>480</v>
      </c>
      <c r="P27" s="68">
        <f t="shared" si="2"/>
        <v>40</v>
      </c>
      <c r="Q27" s="70">
        <f t="shared" si="0"/>
        <v>0</v>
      </c>
      <c r="S27" s="19" t="s">
        <v>3</v>
      </c>
      <c r="T27" s="18">
        <f t="shared" si="3"/>
        <v>960</v>
      </c>
      <c r="U27" s="20">
        <f t="shared" si="4"/>
        <v>40</v>
      </c>
      <c r="V27" s="20">
        <f t="shared" si="7"/>
        <v>40</v>
      </c>
      <c r="W27" s="20">
        <f>V27*6.6/100</f>
        <v>2.64</v>
      </c>
      <c r="X27" s="20">
        <f>V27*1.2/100</f>
        <v>0.48</v>
      </c>
      <c r="Y27" s="20">
        <f>V27*34.2/100</f>
        <v>13.68</v>
      </c>
      <c r="Z27" s="20">
        <f>V27*181/100</f>
        <v>72.400000000000006</v>
      </c>
    </row>
    <row r="28" spans="1:26" ht="16.5" thickBot="1">
      <c r="A28" s="17" t="s">
        <v>53</v>
      </c>
      <c r="B28" s="22">
        <v>0.6</v>
      </c>
      <c r="C28" s="68">
        <f>'1 день'!B50</f>
        <v>0</v>
      </c>
      <c r="D28" s="68">
        <f>'2 день'!B50</f>
        <v>0</v>
      </c>
      <c r="E28" s="68">
        <f>'3 день'!B50</f>
        <v>4</v>
      </c>
      <c r="F28" s="68">
        <f>'4 день'!B50</f>
        <v>0</v>
      </c>
      <c r="G28" s="68">
        <f>'5 день'!B50</f>
        <v>0</v>
      </c>
      <c r="H28" s="68">
        <f>'6 день'!B50</f>
        <v>0</v>
      </c>
      <c r="I28" s="68">
        <f>'7 день'!B50</f>
        <v>0</v>
      </c>
      <c r="J28" s="68">
        <f>'8 день'!B50</f>
        <v>0</v>
      </c>
      <c r="K28" s="68">
        <f>'9 день'!B50</f>
        <v>0</v>
      </c>
      <c r="L28" s="68">
        <f>'10 день'!B50</f>
        <v>0</v>
      </c>
      <c r="M28" s="68">
        <f>'11 день'!B50</f>
        <v>0</v>
      </c>
      <c r="N28" s="68">
        <f>'12 день'!B50</f>
        <v>0</v>
      </c>
      <c r="O28" s="69">
        <f t="shared" si="1"/>
        <v>4</v>
      </c>
      <c r="P28" s="68">
        <f t="shared" si="2"/>
        <v>0.33333333333333331</v>
      </c>
      <c r="Q28" s="70">
        <f t="shared" si="0"/>
        <v>-0.26666666666666666</v>
      </c>
      <c r="S28" s="19" t="s">
        <v>53</v>
      </c>
      <c r="T28" s="18">
        <f t="shared" si="3"/>
        <v>8</v>
      </c>
      <c r="U28" s="20">
        <f t="shared" si="4"/>
        <v>0.33333333333333331</v>
      </c>
      <c r="V28" s="20">
        <f t="shared" si="7"/>
        <v>0.33333333333333331</v>
      </c>
      <c r="W28" s="20">
        <f>V28*24.5/100</f>
        <v>8.1666666666666665E-2</v>
      </c>
      <c r="X28" s="20">
        <f>V28*11.2/100</f>
        <v>3.7333333333333329E-2</v>
      </c>
      <c r="Y28" s="20">
        <f>V28*28.3/100</f>
        <v>9.4333333333333338E-2</v>
      </c>
      <c r="Z28" s="20">
        <f>V28*369/100</f>
        <v>1.23</v>
      </c>
    </row>
    <row r="29" spans="1:26" ht="34.5" customHeight="1" thickBot="1">
      <c r="A29" s="17" t="s">
        <v>73</v>
      </c>
      <c r="B29" s="22">
        <v>2</v>
      </c>
      <c r="C29" s="68">
        <f>'1 день'!B46</f>
        <v>0</v>
      </c>
      <c r="D29" s="68">
        <f>'2 день'!B46</f>
        <v>8</v>
      </c>
      <c r="E29" s="68">
        <f>'3 день'!B46</f>
        <v>0</v>
      </c>
      <c r="F29" s="68">
        <f>'4 день'!B46</f>
        <v>0</v>
      </c>
      <c r="G29" s="68">
        <f>'5 день'!B46</f>
        <v>8</v>
      </c>
      <c r="H29" s="68">
        <f>'6 день'!B46</f>
        <v>0</v>
      </c>
      <c r="I29" s="68">
        <f>'7 день'!B46</f>
        <v>8</v>
      </c>
      <c r="J29" s="68">
        <f>'8 день'!B46</f>
        <v>0</v>
      </c>
      <c r="K29" s="68">
        <f>'9 день'!B46</f>
        <v>8</v>
      </c>
      <c r="L29" s="68">
        <f>'10 день'!B46</f>
        <v>8</v>
      </c>
      <c r="M29" s="68">
        <f>'11 день'!B46</f>
        <v>0</v>
      </c>
      <c r="N29" s="68">
        <f>'12 день'!B46</f>
        <v>8</v>
      </c>
      <c r="O29" s="69">
        <f t="shared" si="1"/>
        <v>48</v>
      </c>
      <c r="P29" s="68">
        <f t="shared" si="2"/>
        <v>4</v>
      </c>
      <c r="Q29" s="68">
        <f t="shared" si="0"/>
        <v>2</v>
      </c>
      <c r="S29" s="19" t="s">
        <v>73</v>
      </c>
      <c r="T29" s="18">
        <f t="shared" si="3"/>
        <v>96</v>
      </c>
      <c r="U29" s="20">
        <f t="shared" si="4"/>
        <v>4</v>
      </c>
      <c r="V29" s="20">
        <f t="shared" si="7"/>
        <v>4</v>
      </c>
      <c r="W29" s="20">
        <f>V29*9/100</f>
        <v>0.36</v>
      </c>
      <c r="X29" s="20">
        <f>V29*0</f>
        <v>0</v>
      </c>
      <c r="Y29" s="20">
        <f>V29*40/100</f>
        <v>1.6</v>
      </c>
      <c r="Z29" s="20">
        <f>V29*378/100</f>
        <v>15.12</v>
      </c>
    </row>
    <row r="30" spans="1:26" ht="16.5" thickBot="1">
      <c r="A30" s="17" t="s">
        <v>51</v>
      </c>
      <c r="B30" s="22">
        <v>0.2</v>
      </c>
      <c r="C30" s="68">
        <f>'1 день'!B47</f>
        <v>0</v>
      </c>
      <c r="D30" s="68">
        <f>'2 день'!B47</f>
        <v>0</v>
      </c>
      <c r="E30" s="68">
        <f>'3 день'!B47</f>
        <v>0</v>
      </c>
      <c r="F30" s="68">
        <f>'4 день'!B47</f>
        <v>0</v>
      </c>
      <c r="G30" s="68">
        <f>'5 день'!B47</f>
        <v>0</v>
      </c>
      <c r="H30" s="68">
        <f>'6 день'!B47</f>
        <v>1</v>
      </c>
      <c r="I30" s="68">
        <f>'7 день'!B47</f>
        <v>0</v>
      </c>
      <c r="J30" s="68">
        <f>'8 день'!B47</f>
        <v>1</v>
      </c>
      <c r="K30" s="68">
        <f>'9 день'!B47</f>
        <v>0</v>
      </c>
      <c r="L30" s="68">
        <f>'10 день'!B47</f>
        <v>0</v>
      </c>
      <c r="M30" s="68">
        <f>'11 день'!B47</f>
        <v>0</v>
      </c>
      <c r="N30" s="68">
        <f>'12 день'!B47</f>
        <v>1</v>
      </c>
      <c r="O30" s="69">
        <f t="shared" si="1"/>
        <v>3</v>
      </c>
      <c r="P30" s="68">
        <f t="shared" si="2"/>
        <v>0.25</v>
      </c>
      <c r="Q30" s="68">
        <f t="shared" si="0"/>
        <v>4.9999999999999989E-2</v>
      </c>
      <c r="S30" s="19" t="s">
        <v>51</v>
      </c>
      <c r="T30" s="18">
        <f t="shared" si="3"/>
        <v>6</v>
      </c>
      <c r="U30" s="20">
        <f t="shared" si="4"/>
        <v>0.25</v>
      </c>
      <c r="V30" s="20">
        <f t="shared" si="7"/>
        <v>0.25</v>
      </c>
      <c r="W30" s="20"/>
      <c r="X30" s="20"/>
      <c r="Y30" s="20"/>
      <c r="Z30" s="20"/>
    </row>
    <row r="31" spans="1:26" ht="16.5" thickBot="1">
      <c r="A31" s="17" t="s">
        <v>29</v>
      </c>
      <c r="B31" s="22"/>
      <c r="C31" s="68">
        <f>'1 день'!B23</f>
        <v>0</v>
      </c>
      <c r="D31" s="68">
        <f>'2 день'!B23</f>
        <v>0</v>
      </c>
      <c r="E31" s="68">
        <f>'3 день'!B23</f>
        <v>24</v>
      </c>
      <c r="F31" s="68">
        <f>'4 день'!B23</f>
        <v>0</v>
      </c>
      <c r="G31" s="68">
        <f>'5 день'!B23</f>
        <v>24</v>
      </c>
      <c r="H31" s="68">
        <f>'6 день'!B23</f>
        <v>0</v>
      </c>
      <c r="I31" s="68">
        <f>'7 день'!B23</f>
        <v>0</v>
      </c>
      <c r="J31" s="68">
        <f>'8 день'!B23</f>
        <v>0</v>
      </c>
      <c r="K31" s="68">
        <f>'9 день'!B23</f>
        <v>0</v>
      </c>
      <c r="L31" s="68">
        <f>'10 день'!B23</f>
        <v>0</v>
      </c>
      <c r="M31" s="68">
        <f>'11 день'!B23</f>
        <v>24</v>
      </c>
      <c r="N31" s="68">
        <f>'12 день'!B23</f>
        <v>0</v>
      </c>
      <c r="O31" s="69">
        <f t="shared" si="1"/>
        <v>72</v>
      </c>
      <c r="P31" s="68">
        <f t="shared" si="2"/>
        <v>6</v>
      </c>
      <c r="Q31" s="68"/>
      <c r="S31" s="19" t="s">
        <v>29</v>
      </c>
      <c r="T31" s="18">
        <f t="shared" si="3"/>
        <v>144</v>
      </c>
      <c r="U31" s="20">
        <f t="shared" si="4"/>
        <v>6</v>
      </c>
      <c r="V31" s="20">
        <f t="shared" si="7"/>
        <v>6</v>
      </c>
      <c r="W31" s="20">
        <f>V31*0.3/100</f>
        <v>1.7999999999999999E-2</v>
      </c>
      <c r="X31" s="20">
        <f>V31*0</f>
        <v>0</v>
      </c>
      <c r="Y31" s="20">
        <f>V31*92/100</f>
        <v>5.52</v>
      </c>
      <c r="Z31" s="20">
        <f>V31*368/100</f>
        <v>22.08</v>
      </c>
    </row>
    <row r="32" spans="1:26" ht="16.5" thickBot="1">
      <c r="V32" s="21" t="s">
        <v>74</v>
      </c>
      <c r="W32" s="20">
        <f>W3+W4+W5+W6+W8+W9+W10+W12+W13+W14+W15+W16+W17+W18+W19+W20+W21+W22+W23+W24+W25+W26+W27+W28+W29+W30+W31</f>
        <v>45.392543666666668</v>
      </c>
      <c r="X32" s="20">
        <f>X3+X4+X5+X6+X8+X9+X10+X12+X13+X14+X15+X16+X17+X18+X19+X20+X21+X22+X23+X24+X25+X26+X27+X28+X29+X30+X31</f>
        <v>46.713667500000007</v>
      </c>
      <c r="Y32" s="20">
        <f>Y3+Y4+Y5+Y6+Y8+Y9+Y10+Y12+Y13+Y14+Y15+Y16+Y17+Y18+Y19+Y20+Y21+Y22+Y23+Y24+Y25+Y26+Y27+Y28+Y29+Y30+Y31</f>
        <v>175.29312891666666</v>
      </c>
      <c r="Z32" s="20">
        <f>Z3+Z4+Z5+Z6+Z8+Z9+Z10+Z12+Z13+Z14+Z15+Z16+Z17+Z18+Z19+Z20+Z21+Z22+Z23+Z24+Z25+Z26+Z27+Z28+Z29+Z30+Z31</f>
        <v>1256.6129491666666</v>
      </c>
    </row>
    <row r="33" spans="23:25" ht="19.5" customHeight="1">
      <c r="W33" s="57">
        <f>W32/W32</f>
        <v>1</v>
      </c>
      <c r="X33" s="57">
        <f>X32/W32</f>
        <v>1.0291044239123239</v>
      </c>
      <c r="Y33" s="57">
        <f>Y32/W32</f>
        <v>3.8617163691884167</v>
      </c>
    </row>
    <row r="38" spans="23:25" ht="15" customHeight="1"/>
    <row r="39" spans="23:25" hidden="1"/>
  </sheetData>
  <mergeCells count="1">
    <mergeCell ref="A1:U1"/>
  </mergeCells>
  <phoneticPr fontId="4" type="noConversion"/>
  <pageMargins left="0.26" right="0.23" top="0.25" bottom="0.36" header="0.17" footer="0.24"/>
  <pageSetup paperSize="9" scale="9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M51"/>
  <sheetViews>
    <sheetView tabSelected="1" zoomScale="75" workbookViewId="0">
      <selection activeCell="R5" sqref="R5"/>
    </sheetView>
  </sheetViews>
  <sheetFormatPr defaultRowHeight="12.75"/>
  <cols>
    <col min="1" max="1" width="22.85546875" customWidth="1"/>
    <col min="2" max="2" width="6.28515625" customWidth="1"/>
    <col min="3" max="3" width="0.85546875" customWidth="1"/>
    <col min="4" max="4" width="6.85546875" customWidth="1"/>
    <col min="5" max="6" width="5.42578125" customWidth="1"/>
    <col min="7" max="7" width="6" customWidth="1"/>
    <col min="8" max="8" width="6.5703125" customWidth="1"/>
    <col min="9" max="9" width="5.28515625" customWidth="1"/>
    <col min="10" max="10" width="6.28515625" customWidth="1"/>
    <col min="11" max="11" width="6.85546875" customWidth="1"/>
    <col min="12" max="12" width="4.7109375" customWidth="1"/>
    <col min="13" max="13" width="0.5703125" customWidth="1"/>
    <col min="14" max="14" width="5.7109375" customWidth="1"/>
    <col min="15" max="15" width="5.42578125" customWidth="1"/>
    <col min="16" max="16" width="7" customWidth="1"/>
    <col min="17" max="17" width="6.28515625" customWidth="1"/>
    <col min="18" max="18" width="5.28515625" customWidth="1"/>
    <col min="19" max="20" width="5.7109375" customWidth="1"/>
    <col min="21" max="21" width="2.7109375" customWidth="1"/>
    <col min="22" max="22" width="0.7109375" customWidth="1"/>
    <col min="23" max="23" width="6.28515625" customWidth="1"/>
    <col min="24" max="24" width="5.5703125" customWidth="1"/>
    <col min="25" max="25" width="6" customWidth="1"/>
    <col min="26" max="26" width="5.5703125" customWidth="1"/>
    <col min="27" max="27" width="5.42578125" customWidth="1"/>
    <col min="28" max="28" width="5.85546875" customWidth="1"/>
    <col min="29" max="29" width="6" customWidth="1"/>
    <col min="30" max="31" width="6.140625" customWidth="1"/>
    <col min="32" max="32" width="4.42578125" customWidth="1"/>
    <col min="33" max="33" width="0.85546875" customWidth="1"/>
    <col min="34" max="34" width="6" customWidth="1"/>
    <col min="35" max="35" width="1.7109375" customWidth="1"/>
  </cols>
  <sheetData>
    <row r="1" spans="1:39" ht="15" customHeight="1" thickBot="1">
      <c r="A1" s="1" t="s">
        <v>75</v>
      </c>
      <c r="B1" s="83" t="s">
        <v>89</v>
      </c>
      <c r="C1" s="82"/>
      <c r="D1" s="82"/>
      <c r="E1" s="82"/>
      <c r="F1" s="82"/>
      <c r="G1" s="82"/>
      <c r="H1" s="82"/>
      <c r="I1" s="82"/>
      <c r="J1" s="84"/>
      <c r="K1" s="83"/>
      <c r="L1" s="84"/>
      <c r="M1" s="39"/>
      <c r="N1" s="83" t="s">
        <v>90</v>
      </c>
      <c r="O1" s="82"/>
      <c r="P1" s="82"/>
      <c r="Q1" s="82"/>
      <c r="R1" s="82"/>
      <c r="S1" s="82"/>
      <c r="T1" s="82"/>
      <c r="U1" s="82"/>
      <c r="V1" s="84"/>
      <c r="W1" s="83">
        <v>15</v>
      </c>
      <c r="X1" s="82"/>
      <c r="Y1" s="39"/>
      <c r="Z1" s="38"/>
      <c r="AA1" s="37"/>
      <c r="AB1" s="82"/>
      <c r="AC1" s="82"/>
      <c r="AD1" s="82"/>
      <c r="AE1" s="82"/>
      <c r="AF1" s="82"/>
      <c r="AG1" s="82"/>
      <c r="AH1" s="82"/>
    </row>
    <row r="2" spans="1:39" ht="13.5" customHeight="1" thickBot="1">
      <c r="A2" s="1" t="s">
        <v>4</v>
      </c>
      <c r="B2" s="77">
        <f>B3*100/2350</f>
        <v>19.40193404255319</v>
      </c>
      <c r="C2" s="73"/>
      <c r="D2" s="73"/>
      <c r="E2" s="73"/>
      <c r="F2" s="73"/>
      <c r="G2" s="73"/>
      <c r="H2" s="73"/>
      <c r="I2" s="73"/>
      <c r="J2" s="78"/>
      <c r="K2" s="77">
        <f>K3*100/B7</f>
        <v>0</v>
      </c>
      <c r="L2" s="78"/>
      <c r="M2" s="26"/>
      <c r="N2" s="77">
        <f>N3*100/2350</f>
        <v>38.246213617021276</v>
      </c>
      <c r="O2" s="73"/>
      <c r="P2" s="73"/>
      <c r="Q2" s="73"/>
      <c r="R2" s="73"/>
      <c r="S2" s="73"/>
      <c r="T2" s="73"/>
      <c r="U2" s="73"/>
      <c r="V2" s="78"/>
      <c r="W2" s="77">
        <f>W3*100/1970</f>
        <v>0</v>
      </c>
      <c r="X2" s="73"/>
      <c r="Y2" s="59"/>
      <c r="Z2" s="32"/>
      <c r="AA2" s="73"/>
      <c r="AB2" s="73"/>
      <c r="AC2" s="73"/>
      <c r="AD2" s="73"/>
      <c r="AE2" s="73"/>
      <c r="AF2" s="73"/>
      <c r="AG2" s="78"/>
      <c r="AH2" s="10">
        <f>AH3*100/B7</f>
        <v>0</v>
      </c>
    </row>
    <row r="3" spans="1:39" ht="13.5" thickBot="1">
      <c r="A3" s="2" t="s">
        <v>5</v>
      </c>
      <c r="B3" s="74">
        <f>C7+D7+E7+F7+G7+H7+I7+J7</f>
        <v>455.94544999999999</v>
      </c>
      <c r="C3" s="75"/>
      <c r="D3" s="75"/>
      <c r="E3" s="75"/>
      <c r="F3" s="75"/>
      <c r="G3" s="75"/>
      <c r="H3" s="75"/>
      <c r="I3" s="75"/>
      <c r="J3" s="76"/>
      <c r="K3" s="74">
        <f>K7+L7</f>
        <v>0</v>
      </c>
      <c r="L3" s="76"/>
      <c r="M3" s="25"/>
      <c r="N3" s="74">
        <f>N7+O7+P7+Q7+R7+S7+T7+U7+V7</f>
        <v>898.78602000000001</v>
      </c>
      <c r="O3" s="75"/>
      <c r="P3" s="75"/>
      <c r="Q3" s="75"/>
      <c r="R3" s="75"/>
      <c r="S3" s="75"/>
      <c r="T3" s="75"/>
      <c r="U3" s="75"/>
      <c r="V3" s="76"/>
      <c r="W3" s="77">
        <f>W7+X7+Y7+Z7</f>
        <v>0</v>
      </c>
      <c r="X3" s="75"/>
      <c r="Y3" s="55"/>
      <c r="Z3" s="33"/>
      <c r="AA3" s="75"/>
      <c r="AB3" s="75"/>
      <c r="AC3" s="75"/>
      <c r="AD3" s="75"/>
      <c r="AE3" s="75"/>
      <c r="AF3" s="75"/>
      <c r="AG3" s="76"/>
      <c r="AH3" s="11">
        <f>AH7</f>
        <v>0</v>
      </c>
    </row>
    <row r="4" spans="1:39" ht="13.5" customHeight="1" thickBot="1">
      <c r="A4" s="2"/>
      <c r="B4" s="3"/>
      <c r="C4" s="74" t="s">
        <v>1</v>
      </c>
      <c r="D4" s="75"/>
      <c r="E4" s="75"/>
      <c r="F4" s="75"/>
      <c r="G4" s="75"/>
      <c r="H4" s="75"/>
      <c r="I4" s="75"/>
      <c r="J4" s="76"/>
      <c r="K4" s="74" t="s">
        <v>6</v>
      </c>
      <c r="L4" s="76"/>
      <c r="M4" s="11"/>
      <c r="N4" s="74" t="s">
        <v>7</v>
      </c>
      <c r="O4" s="75"/>
      <c r="P4" s="75"/>
      <c r="Q4" s="75"/>
      <c r="R4" s="75"/>
      <c r="S4" s="75"/>
      <c r="T4" s="75"/>
      <c r="U4" s="75"/>
      <c r="V4" s="76"/>
      <c r="W4" s="74" t="s">
        <v>8</v>
      </c>
      <c r="X4" s="75"/>
      <c r="Y4" s="33"/>
      <c r="Z4" s="75" t="s">
        <v>9</v>
      </c>
      <c r="AA4" s="75"/>
      <c r="AB4" s="75"/>
      <c r="AC4" s="75"/>
      <c r="AD4" s="75"/>
      <c r="AE4" s="75"/>
      <c r="AF4" s="75"/>
      <c r="AG4" s="76"/>
      <c r="AH4" s="11" t="s">
        <v>10</v>
      </c>
    </row>
    <row r="5" spans="1:39" ht="126.75" customHeight="1" thickBot="1">
      <c r="A5" s="2" t="s">
        <v>77</v>
      </c>
      <c r="B5" s="5" t="s">
        <v>11</v>
      </c>
      <c r="C5" s="40"/>
      <c r="D5" s="72" t="s">
        <v>135</v>
      </c>
      <c r="E5" s="72" t="s">
        <v>134</v>
      </c>
      <c r="F5" s="40" t="s">
        <v>2</v>
      </c>
      <c r="G5" s="72" t="s">
        <v>96</v>
      </c>
      <c r="H5" s="5" t="s">
        <v>136</v>
      </c>
      <c r="I5" s="5"/>
      <c r="J5" s="5"/>
      <c r="K5" s="5"/>
      <c r="L5" s="5"/>
      <c r="M5" s="27"/>
      <c r="N5" s="72" t="s">
        <v>116</v>
      </c>
      <c r="O5" s="72" t="s">
        <v>101</v>
      </c>
      <c r="P5" s="72" t="s">
        <v>99</v>
      </c>
      <c r="Q5" s="72" t="s">
        <v>100</v>
      </c>
      <c r="R5" s="72" t="s">
        <v>98</v>
      </c>
      <c r="S5" s="5" t="s">
        <v>2</v>
      </c>
      <c r="T5" s="5" t="s">
        <v>3</v>
      </c>
      <c r="U5" s="5"/>
      <c r="V5" s="27"/>
      <c r="W5" s="5"/>
      <c r="X5" s="5"/>
      <c r="Y5" s="35"/>
      <c r="Z5" s="5"/>
      <c r="AA5" s="5"/>
      <c r="AB5" s="5"/>
      <c r="AC5" s="5"/>
      <c r="AD5" s="5"/>
      <c r="AE5" s="5"/>
      <c r="AF5" s="5"/>
      <c r="AG5" s="50"/>
      <c r="AH5" s="5"/>
      <c r="AK5" s="44"/>
      <c r="AL5" s="44"/>
      <c r="AM5" s="44"/>
    </row>
    <row r="6" spans="1:39" ht="14.25" customHeight="1" thickBot="1">
      <c r="A6" s="2" t="s">
        <v>15</v>
      </c>
      <c r="B6" s="7"/>
      <c r="C6" s="4"/>
      <c r="D6" s="4">
        <v>100</v>
      </c>
      <c r="E6" s="4">
        <v>12</v>
      </c>
      <c r="F6" s="4">
        <v>20</v>
      </c>
      <c r="G6" s="4">
        <v>200</v>
      </c>
      <c r="H6" s="4">
        <v>170</v>
      </c>
      <c r="I6" s="4"/>
      <c r="J6" s="4"/>
      <c r="K6" s="4"/>
      <c r="L6" s="4"/>
      <c r="M6" s="28"/>
      <c r="N6" s="4">
        <v>60</v>
      </c>
      <c r="O6" s="4">
        <v>200</v>
      </c>
      <c r="P6" s="4">
        <v>100</v>
      </c>
      <c r="Q6" s="4">
        <v>150</v>
      </c>
      <c r="R6" s="4">
        <v>200</v>
      </c>
      <c r="S6" s="4">
        <v>50</v>
      </c>
      <c r="T6" s="4">
        <v>40</v>
      </c>
      <c r="U6" s="4"/>
      <c r="V6" s="28"/>
      <c r="W6" s="4"/>
      <c r="X6" s="4"/>
      <c r="Y6" s="24"/>
      <c r="Z6" s="4"/>
      <c r="AA6" s="4"/>
      <c r="AB6" s="4"/>
      <c r="AC6" s="4"/>
      <c r="AD6" s="4"/>
      <c r="AE6" s="4"/>
      <c r="AF6" s="4"/>
      <c r="AG6" s="31"/>
      <c r="AH6" s="4"/>
      <c r="AK6" s="45"/>
      <c r="AL6" s="45"/>
      <c r="AM6" s="45"/>
    </row>
    <row r="7" spans="1:39" ht="13.5" customHeight="1" thickBot="1">
      <c r="A7" s="2" t="s">
        <v>0</v>
      </c>
      <c r="B7" s="7">
        <f>C7+D7+E7+F7+G7+H7+I7+J7+K7+L7+M7+N7+O7+P7+Q7+R7+S7+T7+U7+V7+W7+X7+Y7+Z7+AA7+AB7+AC7+AD7+AE7+AF7+AH7</f>
        <v>1354.7314699999999</v>
      </c>
      <c r="C7" s="8">
        <f>C8*1.1928+C9*1.1928+C10*1.3875+C12*3.01+C13*3.01+C14*1.363+C15*7.09+C16*8.99+C17*0.52+C18*2.06+C19*1.59+C20*3.6+C21*1.6095+C22*3.34+C23*3.68+C24*3.314+C25*3.314+C26*3.314+C27*3.314+C28*3.314+C29*3.314+C30*3.314+C31*3.314+C32*3.79+C34*3.558+C35*0.466+C36*0.396+C37*0.56+C38*0.27+C39*0.27+C40*0.27+C41*0.27+C42*0.27+C43*0.27+C44*2.62+C45*1.81+C46*3.78+C49*0.31+C50*3.69</f>
        <v>0</v>
      </c>
      <c r="D7" s="8">
        <f t="shared" ref="D7:L7" si="0">D8*1.1928+D9*1.1928+D10*1.3875+D11*1.1928+D12*3.01+D13*3.01+D14*0.783+D15*7.09+D16*8.99+D17*0.52+D18*1.18+D19*1.56+D20*3.6+D21*1.3659+D22*3.34+D23*3.68+D24*3.314+D25*3.314+D26*3.314+D27*3.314+D28*3.314+D29*3.314+D30*3.314+D31*3.314+D32*3.74+D34*3.558+D35*0.466+D36*0.396+D37*0.56+D38*0.2744+D39*0.2744+D40*0.2744+D41*0.2744+D42*0.2744+D43*0.2744+D44*2.26+D45*1.81+D46*3.78+D49*0.31+D50*3.69</f>
        <v>162.88544999999999</v>
      </c>
      <c r="E7" s="8">
        <f t="shared" si="0"/>
        <v>47.519999999999996</v>
      </c>
      <c r="F7" s="8">
        <f t="shared" si="0"/>
        <v>45.199999999999996</v>
      </c>
      <c r="G7" s="8">
        <f t="shared" si="0"/>
        <v>131.04000000000002</v>
      </c>
      <c r="H7" s="8">
        <f>H8*1.1928+H9*1.1928+H10*1.3875+H11*1.1928+H12*3.01+H13*3.01+H14*0.783+H15*7.09+H16*8.99+H17*0.52+H18*1.18+H19*1.56+H20*3.6+H21*1.3659+H22*3.34+H23*3.68+H24*3.314+H25*3.314+H26*3.314+H27*3.314+H28*3.314+H29*3.314+H30*3.314+H31*3.314+H32*3.74+H34*3.558+H35*0.466+H36*0.396+H37*0.56+H38*0.2744+H39*0.2744+H40*0.2744+H41*0.2744+H42*0.2744+H43*0.2744+H44*2.26+H45*1.81+H46*3.78+H49*0.31+H50*3.69</f>
        <v>69.3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29"/>
      <c r="N7" s="8">
        <f t="shared" ref="N7:T7" si="1">N8*1.1928+N9*1.1928+N10*1.3875+N11*1.1928+N12*3.01+N13*3.01+N14*0.783+N15*7.09+N16*8.99+N17*0.52+N18*1.18+N19*1.56+N20*3.6+N21*1.3659+N22*3.34+N23*3.68+N24*3.314+N25*3.314+N26*3.314+N27*3.314+N28*3.314+N29*3.314+N30*3.314+N31*3.314+N32*3.74+N34*3.558+N35*0.466+N36*0.396+N37*0.56+N38*0.2744+N39*0.2744+N40*0.2744+N41*0.2744+N42*0.2744+N43*0.2744+N44*2.26+N45*1.81+N46*3.78+N49*0.31+N50*3.69</f>
        <v>112.28712000000002</v>
      </c>
      <c r="O7" s="8">
        <f t="shared" si="1"/>
        <v>110.60639999999999</v>
      </c>
      <c r="P7" s="8">
        <f t="shared" si="1"/>
        <v>239.2225</v>
      </c>
      <c r="Q7" s="8">
        <f t="shared" si="1"/>
        <v>143.69</v>
      </c>
      <c r="R7" s="8">
        <f t="shared" si="1"/>
        <v>107.58000000000001</v>
      </c>
      <c r="S7" s="8">
        <f t="shared" si="1"/>
        <v>112.99999999999999</v>
      </c>
      <c r="T7" s="8">
        <f t="shared" si="1"/>
        <v>72.400000000000006</v>
      </c>
      <c r="U7" s="8"/>
      <c r="V7" s="29"/>
      <c r="W7" s="8"/>
      <c r="X7" s="8"/>
      <c r="Y7" s="8">
        <f>Y8*1.1928+Y9*1.1928+Y10*1.3875+Y11*1.1928+Y12*3.01+Y13*3.01+Y14*0.783+Y15*7.09+Y16*8.99+Y17*0.52+Y18*1.18+Y19*1.56+Y20*3.6+Y21*1.3659+Y22*3.34+Y23*3.68+Y24*3.314+Y25*3.314+Y26*3.314+Y27*3.314+Y28*3.314+Y29*3.314+Y30*3.314+Y31*3.314+Y32*3.74+Y34*3.558+Y35*0.466+Y36*0.396+Y37*0.56+Y38*0.2744+Y39*0.2744+Y40*0.2744+Y41*0.2744+Y42*0.2744+Y43*0.2744+Y44*2.26+Y45*1.81+Y46*3.78+Y49*0.31+Y50*3.69</f>
        <v>0</v>
      </c>
      <c r="Z7" s="8">
        <f t="shared" ref="Z7:AF7" si="2">Z8*1.1928+Z9*1.1928+Z10*1.3875+Z11*1.1928+Z12*3.01+Z13*3.01+Z14*0.783+Z15*7.09+Z16*8.99+Z17*0.52+Z18*1.18+Z19*1.56+Z20*3.6+Z21*1.3659+Z22*3.34+Z23*3.68+Z24*3.314+Z25*3.314+Z26*3.314+Z27*3.314+Z28*3.314+Z29*3.314+Z30*3.314+Z31*3.314+Z32*3.74+Z34*3.558+Z35*0.466+Z36*0.396+Z37*0.56+Z38*0.2744+Z39*0.2744+Z40*0.2744+Z41*0.2744+Z42*0.2744+Z43*0.2744+Z44*2.26+Z45*1.81+Z46*3.78+Z49*0.31+Z50*3.69</f>
        <v>0</v>
      </c>
      <c r="AA7" s="8">
        <f t="shared" si="2"/>
        <v>0</v>
      </c>
      <c r="AB7" s="8">
        <f t="shared" si="2"/>
        <v>0</v>
      </c>
      <c r="AC7" s="8">
        <f t="shared" si="2"/>
        <v>0</v>
      </c>
      <c r="AD7" s="8">
        <f t="shared" si="2"/>
        <v>0</v>
      </c>
      <c r="AE7" s="8">
        <f t="shared" si="2"/>
        <v>0</v>
      </c>
      <c r="AF7" s="8">
        <f t="shared" si="2"/>
        <v>0</v>
      </c>
      <c r="AG7" s="31"/>
      <c r="AH7" s="8">
        <f>AH8*1.1928+AH9*1.1928+AH10*1.3875+AH11*1.1928+AH12*3.01+AH13*3.01+AH14*0.783+AH15*7.09+AH16*8.99+AH17*0.52+AH18*1.18+AH19*1.56+AH20*3.6+AH21*1.3659+AH22*3.34+AH23*3.68+AH24*3.314+AH25*3.314+AH26*3.314+AH27*3.314+AH28*3.314+AH29*3.314+AH30*3.314+AH31*3.314+AH32*3.74+AH34*3.558+AH35*0.466+AH36*0.396+AH37*0.56+AH38*0.2744+AH39*0.2744+AH40*0.2744+AH41*0.2744+AH42*0.2744+AH43*0.2744+AH44*2.26+AH45*1.81+AH46*3.78+AH49*0.31+AH50*3.69</f>
        <v>0</v>
      </c>
      <c r="AK7" s="46"/>
      <c r="AL7" s="46"/>
      <c r="AM7" s="46"/>
    </row>
    <row r="8" spans="1:39" ht="15" customHeight="1" thickBot="1">
      <c r="A8" s="2" t="s">
        <v>16</v>
      </c>
      <c r="B8" s="64">
        <f t="shared" ref="B8:B50" si="3">C8+D8+E8+F8+G8+H8+I8+J8+K8+L8+M8+N8+O8+P8+Q8+R8+S8+T8+U8+V8+W8+X8+Y8+Z8+AA8+AB8+AC8+AD8+AE8+AF8+AG8+AH8</f>
        <v>100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>
        <v>100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K8" s="43"/>
      <c r="AL8" s="43"/>
      <c r="AM8" s="43"/>
    </row>
    <row r="9" spans="1:39" ht="13.5" thickBot="1">
      <c r="A9" s="2" t="s">
        <v>17</v>
      </c>
      <c r="B9" s="64">
        <f t="shared" si="3"/>
        <v>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K9" s="43"/>
      <c r="AL9" s="43"/>
      <c r="AM9" s="43"/>
    </row>
    <row r="10" spans="1:39" ht="14.25" customHeight="1" thickBot="1">
      <c r="A10" s="2" t="s">
        <v>18</v>
      </c>
      <c r="B10" s="64">
        <f t="shared" si="3"/>
        <v>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K10" s="43"/>
      <c r="AL10" s="43"/>
      <c r="AM10" s="43"/>
    </row>
    <row r="11" spans="1:39" ht="12.75" customHeight="1" thickBot="1">
      <c r="A11" s="2" t="s">
        <v>19</v>
      </c>
      <c r="B11" s="64">
        <f t="shared" si="3"/>
        <v>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K11" s="43"/>
      <c r="AL11" s="43"/>
      <c r="AM11" s="43"/>
    </row>
    <row r="12" spans="1:39" ht="13.5" customHeight="1" thickBot="1">
      <c r="A12" s="2" t="s">
        <v>20</v>
      </c>
      <c r="B12" s="64">
        <f t="shared" si="3"/>
        <v>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K12" s="43"/>
      <c r="AL12" s="43"/>
      <c r="AM12" s="43"/>
    </row>
    <row r="13" spans="1:39" ht="13.5" thickBot="1">
      <c r="A13" s="2" t="s">
        <v>21</v>
      </c>
      <c r="B13" s="64">
        <f t="shared" si="3"/>
        <v>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K13" s="43"/>
      <c r="AL13" s="43"/>
      <c r="AM13" s="43"/>
    </row>
    <row r="14" spans="1:39" ht="13.5" thickBot="1">
      <c r="A14" s="2" t="s">
        <v>22</v>
      </c>
      <c r="B14" s="64">
        <f t="shared" si="3"/>
        <v>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K14" s="43"/>
      <c r="AL14" s="43"/>
      <c r="AM14" s="43"/>
    </row>
    <row r="15" spans="1:39" ht="13.5" thickBot="1">
      <c r="A15" s="2" t="s">
        <v>23</v>
      </c>
      <c r="B15" s="64">
        <f t="shared" si="3"/>
        <v>19.75</v>
      </c>
      <c r="C15" s="65"/>
      <c r="D15" s="65">
        <v>4.5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>
        <v>4</v>
      </c>
      <c r="P15" s="65">
        <v>6.25</v>
      </c>
      <c r="Q15" s="65">
        <v>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K15" s="43"/>
      <c r="AL15" s="43"/>
      <c r="AM15" s="43"/>
    </row>
    <row r="16" spans="1:39" ht="13.5" customHeight="1" thickBot="1">
      <c r="A16" s="2" t="s">
        <v>24</v>
      </c>
      <c r="B16" s="64">
        <f t="shared" si="3"/>
        <v>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>
        <v>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K16" s="43"/>
      <c r="AL16" s="43"/>
      <c r="AM16" s="43"/>
    </row>
    <row r="17" spans="1:39" ht="13.5" thickBot="1">
      <c r="A17" s="2" t="s">
        <v>54</v>
      </c>
      <c r="B17" s="64">
        <f t="shared" si="3"/>
        <v>125.05</v>
      </c>
      <c r="C17" s="65"/>
      <c r="D17" s="65">
        <v>27.3</v>
      </c>
      <c r="E17" s="65"/>
      <c r="F17" s="65"/>
      <c r="G17" s="65">
        <v>50</v>
      </c>
      <c r="H17" s="65"/>
      <c r="I17" s="65"/>
      <c r="J17" s="65"/>
      <c r="K17" s="65"/>
      <c r="L17" s="65"/>
      <c r="M17" s="65"/>
      <c r="N17" s="65"/>
      <c r="O17" s="65"/>
      <c r="P17" s="65">
        <v>23.75</v>
      </c>
      <c r="Q17" s="65">
        <v>24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K17" s="43"/>
      <c r="AL17" s="43"/>
      <c r="AM17" s="43"/>
    </row>
    <row r="18" spans="1:39" ht="13.5" thickBot="1">
      <c r="A18" s="2" t="s">
        <v>25</v>
      </c>
      <c r="B18" s="64">
        <f t="shared" si="3"/>
        <v>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>
        <v>8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K18" s="43"/>
      <c r="AL18" s="43"/>
      <c r="AM18" s="43"/>
    </row>
    <row r="19" spans="1:39" ht="13.5" thickBot="1">
      <c r="A19" s="2" t="s">
        <v>26</v>
      </c>
      <c r="B19" s="64">
        <f t="shared" si="3"/>
        <v>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K19" s="43"/>
      <c r="AL19" s="43"/>
      <c r="AM19" s="43"/>
    </row>
    <row r="20" spans="1:39" ht="13.5" thickBot="1">
      <c r="A20" s="2" t="s">
        <v>27</v>
      </c>
      <c r="B20" s="64">
        <f t="shared" si="3"/>
        <v>13.2</v>
      </c>
      <c r="C20" s="65"/>
      <c r="D20" s="65"/>
      <c r="E20" s="65">
        <v>13.2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K20" s="43"/>
      <c r="AL20" s="43"/>
      <c r="AM20" s="43"/>
    </row>
    <row r="21" spans="1:39" ht="13.5" thickBot="1">
      <c r="A21" s="2" t="s">
        <v>14</v>
      </c>
      <c r="B21" s="64">
        <f t="shared" si="3"/>
        <v>85.5</v>
      </c>
      <c r="C21" s="65"/>
      <c r="D21" s="65">
        <v>85.5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K21" s="43"/>
      <c r="AL21" s="43"/>
      <c r="AM21" s="43"/>
    </row>
    <row r="22" spans="1:39" ht="13.5" thickBot="1">
      <c r="A22" s="2" t="s">
        <v>28</v>
      </c>
      <c r="B22" s="64">
        <f t="shared" si="3"/>
        <v>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K22" s="43"/>
      <c r="AL22" s="43"/>
      <c r="AM22" s="43"/>
    </row>
    <row r="23" spans="1:39" ht="13.5" thickBot="1">
      <c r="A23" s="2" t="s">
        <v>29</v>
      </c>
      <c r="B23" s="64">
        <f t="shared" si="3"/>
        <v>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K23" s="43"/>
      <c r="AL23" s="43"/>
      <c r="AM23" s="43"/>
    </row>
    <row r="24" spans="1:39" ht="13.5" thickBot="1">
      <c r="A24" s="2" t="s">
        <v>30</v>
      </c>
      <c r="B24" s="64">
        <f t="shared" si="3"/>
        <v>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K24" s="43"/>
      <c r="AL24" s="43"/>
      <c r="AM24" s="43"/>
    </row>
    <row r="25" spans="1:39" ht="13.5" thickBot="1">
      <c r="A25" s="2" t="s">
        <v>31</v>
      </c>
      <c r="B25" s="64">
        <f t="shared" si="3"/>
        <v>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K25" s="43"/>
      <c r="AL25" s="43"/>
      <c r="AM25" s="43"/>
    </row>
    <row r="26" spans="1:39" ht="13.5" thickBot="1">
      <c r="A26" s="2" t="s">
        <v>32</v>
      </c>
      <c r="B26" s="64">
        <f t="shared" si="3"/>
        <v>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K26" s="43"/>
      <c r="AL26" s="43"/>
      <c r="AM26" s="43"/>
    </row>
    <row r="27" spans="1:39" ht="13.5" thickBot="1">
      <c r="A27" s="2" t="s">
        <v>33</v>
      </c>
      <c r="B27" s="64">
        <f t="shared" si="3"/>
        <v>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K27" s="43"/>
      <c r="AL27" s="43"/>
      <c r="AM27" s="43"/>
    </row>
    <row r="28" spans="1:39" ht="13.5" thickBot="1">
      <c r="A28" s="2" t="s">
        <v>34</v>
      </c>
      <c r="B28" s="64">
        <f t="shared" si="3"/>
        <v>0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K28" s="43"/>
      <c r="AL28" s="43"/>
      <c r="AM28" s="43"/>
    </row>
    <row r="29" spans="1:39" ht="14.25" customHeight="1" thickBot="1">
      <c r="A29" s="2" t="s">
        <v>131</v>
      </c>
      <c r="B29" s="64">
        <f t="shared" si="3"/>
        <v>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K29" s="43"/>
      <c r="AL29" s="43"/>
      <c r="AM29" s="43"/>
    </row>
    <row r="30" spans="1:39" ht="13.5" thickBot="1">
      <c r="A30" s="2" t="s">
        <v>36</v>
      </c>
      <c r="B30" s="64">
        <f t="shared" si="3"/>
        <v>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K30" s="43"/>
      <c r="AL30" s="43"/>
      <c r="AM30" s="43"/>
    </row>
    <row r="31" spans="1:39" ht="13.5" thickBot="1">
      <c r="A31" s="2" t="s">
        <v>37</v>
      </c>
      <c r="B31" s="64">
        <f t="shared" si="3"/>
        <v>9.6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>
        <v>9.6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K31" s="43"/>
      <c r="AL31" s="43"/>
      <c r="AM31" s="43"/>
    </row>
    <row r="32" spans="1:39" ht="13.5" thickBot="1">
      <c r="A32" s="2" t="s">
        <v>38</v>
      </c>
      <c r="B32" s="64">
        <f t="shared" si="3"/>
        <v>47</v>
      </c>
      <c r="C32" s="65"/>
      <c r="D32" s="65"/>
      <c r="E32" s="65"/>
      <c r="F32" s="65"/>
      <c r="G32" s="65">
        <v>20</v>
      </c>
      <c r="H32" s="65"/>
      <c r="I32" s="65"/>
      <c r="J32" s="65"/>
      <c r="K32" s="65"/>
      <c r="L32" s="65"/>
      <c r="M32" s="65"/>
      <c r="N32" s="65">
        <v>3</v>
      </c>
      <c r="O32" s="65"/>
      <c r="P32" s="65"/>
      <c r="Q32" s="65"/>
      <c r="R32" s="65">
        <v>24</v>
      </c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K32" s="43"/>
      <c r="AL32" s="43"/>
      <c r="AM32" s="43"/>
    </row>
    <row r="33" spans="1:39" ht="13.5" thickBot="1">
      <c r="A33" s="2" t="s">
        <v>39</v>
      </c>
      <c r="B33" s="64">
        <f t="shared" si="3"/>
        <v>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K33" s="43"/>
      <c r="AL33" s="43"/>
      <c r="AM33" s="43"/>
    </row>
    <row r="34" spans="1:39" ht="13.5" thickBot="1">
      <c r="A34" s="2" t="s">
        <v>40</v>
      </c>
      <c r="B34" s="64">
        <f t="shared" si="3"/>
        <v>0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K34" s="43"/>
      <c r="AL34" s="43"/>
      <c r="AM34" s="43"/>
    </row>
    <row r="35" spans="1:39" ht="13.5" thickBot="1">
      <c r="A35" s="2" t="s">
        <v>41</v>
      </c>
      <c r="B35" s="64">
        <f t="shared" si="3"/>
        <v>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K35" s="43"/>
      <c r="AL35" s="43"/>
      <c r="AM35" s="43"/>
    </row>
    <row r="36" spans="1:39" ht="13.5" thickBot="1">
      <c r="A36" s="2" t="s">
        <v>42</v>
      </c>
      <c r="B36" s="64">
        <f t="shared" si="3"/>
        <v>226</v>
      </c>
      <c r="C36" s="65"/>
      <c r="D36" s="65"/>
      <c r="E36" s="65"/>
      <c r="F36" s="65"/>
      <c r="G36" s="65"/>
      <c r="H36" s="65">
        <v>175</v>
      </c>
      <c r="I36" s="65"/>
      <c r="J36" s="65"/>
      <c r="K36" s="65"/>
      <c r="L36" s="65"/>
      <c r="M36" s="65"/>
      <c r="N36" s="65">
        <v>6</v>
      </c>
      <c r="O36" s="65"/>
      <c r="P36" s="65"/>
      <c r="Q36" s="65"/>
      <c r="R36" s="65">
        <v>45</v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K36" s="43"/>
      <c r="AL36" s="43"/>
      <c r="AM36" s="43"/>
    </row>
    <row r="37" spans="1:39" ht="13.5" thickBot="1">
      <c r="A37" s="2" t="s">
        <v>43</v>
      </c>
      <c r="B37" s="64">
        <f t="shared" si="3"/>
        <v>224.6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>
        <v>53.6</v>
      </c>
      <c r="P37" s="65"/>
      <c r="Q37" s="65">
        <v>171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K37" s="43"/>
      <c r="AL37" s="43"/>
      <c r="AM37" s="43"/>
    </row>
    <row r="38" spans="1:39" ht="13.5" thickBot="1">
      <c r="A38" s="2" t="s">
        <v>44</v>
      </c>
      <c r="B38" s="64">
        <f t="shared" si="3"/>
        <v>38.6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>
        <v>18.600000000000001</v>
      </c>
      <c r="O38" s="65">
        <v>20</v>
      </c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K38" s="43"/>
      <c r="AL38" s="43"/>
      <c r="AM38" s="43"/>
    </row>
    <row r="39" spans="1:39" ht="13.5" thickBot="1">
      <c r="A39" s="2" t="s">
        <v>45</v>
      </c>
      <c r="B39" s="64">
        <f t="shared" si="3"/>
        <v>18.2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>
        <v>7.8</v>
      </c>
      <c r="O39" s="65">
        <v>10.4</v>
      </c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K39" s="43"/>
      <c r="AL39" s="43"/>
      <c r="AM39" s="43"/>
    </row>
    <row r="40" spans="1:39" ht="13.5" thickBot="1">
      <c r="A40" s="2" t="s">
        <v>46</v>
      </c>
      <c r="B40" s="64">
        <f t="shared" si="3"/>
        <v>17.399999999999999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>
        <v>7.8</v>
      </c>
      <c r="O40" s="65">
        <v>9.6</v>
      </c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K40" s="43"/>
      <c r="AL40" s="43"/>
      <c r="AM40" s="43"/>
    </row>
    <row r="41" spans="1:39" ht="13.5" thickBot="1">
      <c r="A41" s="2" t="s">
        <v>47</v>
      </c>
      <c r="B41" s="64">
        <f t="shared" si="3"/>
        <v>18.600000000000001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>
        <v>18.600000000000001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K41" s="43"/>
      <c r="AL41" s="43"/>
      <c r="AM41" s="43"/>
    </row>
    <row r="42" spans="1:39" ht="13.5" thickBot="1">
      <c r="A42" s="2" t="s">
        <v>48</v>
      </c>
      <c r="B42" s="64">
        <f t="shared" si="3"/>
        <v>12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>
        <v>12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K42" s="43"/>
      <c r="AL42" s="43"/>
      <c r="AM42" s="43"/>
    </row>
    <row r="43" spans="1:39" ht="13.5" thickBot="1">
      <c r="A43" s="2" t="s">
        <v>49</v>
      </c>
      <c r="B43" s="64">
        <f t="shared" si="3"/>
        <v>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K43" s="43"/>
      <c r="AL43" s="43"/>
      <c r="AM43" s="43"/>
    </row>
    <row r="44" spans="1:39" ht="13.5" thickBot="1">
      <c r="A44" s="2" t="s">
        <v>2</v>
      </c>
      <c r="B44" s="64">
        <f t="shared" si="3"/>
        <v>98</v>
      </c>
      <c r="C44" s="65"/>
      <c r="D44" s="65"/>
      <c r="E44" s="65"/>
      <c r="F44" s="65">
        <v>20</v>
      </c>
      <c r="G44" s="65"/>
      <c r="H44" s="65"/>
      <c r="I44" s="65"/>
      <c r="J44" s="65"/>
      <c r="K44" s="65"/>
      <c r="L44" s="65"/>
      <c r="M44" s="65"/>
      <c r="N44" s="65"/>
      <c r="O44" s="65"/>
      <c r="P44" s="65">
        <v>28</v>
      </c>
      <c r="Q44" s="65"/>
      <c r="R44" s="65"/>
      <c r="S44" s="65">
        <v>50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K44" s="43"/>
      <c r="AL44" s="43"/>
      <c r="AM44" s="43"/>
    </row>
    <row r="45" spans="1:39" ht="13.5" thickBot="1">
      <c r="A45" s="2" t="s">
        <v>3</v>
      </c>
      <c r="B45" s="64">
        <f t="shared" si="3"/>
        <v>40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>
        <v>40</v>
      </c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K45" s="43"/>
      <c r="AL45" s="43"/>
      <c r="AM45" s="43"/>
    </row>
    <row r="46" spans="1:39" ht="13.5" thickBot="1">
      <c r="A46" s="2" t="s">
        <v>50</v>
      </c>
      <c r="B46" s="64">
        <f t="shared" si="3"/>
        <v>8</v>
      </c>
      <c r="C46" s="65"/>
      <c r="D46" s="65"/>
      <c r="E46" s="65"/>
      <c r="F46" s="65"/>
      <c r="G46" s="65">
        <v>8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K46" s="43"/>
      <c r="AL46" s="43"/>
      <c r="AM46" s="43"/>
    </row>
    <row r="47" spans="1:39" ht="13.5" thickBot="1">
      <c r="A47" s="2" t="s">
        <v>51</v>
      </c>
      <c r="B47" s="64">
        <f t="shared" si="3"/>
        <v>0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K47" s="43"/>
      <c r="AL47" s="43"/>
      <c r="AM47" s="43"/>
    </row>
    <row r="48" spans="1:39" ht="13.5" thickBot="1">
      <c r="A48" s="2" t="s">
        <v>52</v>
      </c>
      <c r="B48" s="64">
        <f t="shared" si="3"/>
        <v>0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K48" s="43"/>
      <c r="AL48" s="43"/>
      <c r="AM48" s="43"/>
    </row>
    <row r="49" spans="1:39" ht="13.5" thickBot="1">
      <c r="A49" s="2" t="s">
        <v>13</v>
      </c>
      <c r="B49" s="64">
        <f t="shared" si="3"/>
        <v>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K49" s="43"/>
      <c r="AL49" s="43"/>
      <c r="AM49" s="43"/>
    </row>
    <row r="50" spans="1:39" ht="13.5" thickBot="1">
      <c r="A50" s="2" t="s">
        <v>53</v>
      </c>
      <c r="B50" s="64">
        <f t="shared" si="3"/>
        <v>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K50" s="43"/>
      <c r="AL50" s="43"/>
      <c r="AM50" s="43"/>
    </row>
    <row r="51" spans="1:39" ht="13.5" thickBot="1">
      <c r="A51" s="2" t="s">
        <v>115</v>
      </c>
      <c r="B51" s="64">
        <f>C51+D51+E51+F51+G51+H51+I51+J51+K51+L51+M51+N51+O51+P51+Q51+R51+S51+T51+U51+V51+W51+X51+Y51+Z51+AA51+AB51+AC51+AD51+AE51+AF51+AG51+AI51</f>
        <v>0</v>
      </c>
      <c r="C51" s="2"/>
      <c r="D51" s="2"/>
      <c r="E51" s="2"/>
      <c r="F51" s="2"/>
      <c r="G51" s="2"/>
      <c r="H51" s="2"/>
      <c r="I51" s="2"/>
      <c r="J51" s="2"/>
      <c r="K51" s="2"/>
      <c r="L51" s="6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5"/>
      <c r="AL51" s="46"/>
      <c r="AM51" s="46"/>
    </row>
  </sheetData>
  <mergeCells count="20">
    <mergeCell ref="Z4:AG4"/>
    <mergeCell ref="C4:J4"/>
    <mergeCell ref="K4:L4"/>
    <mergeCell ref="N4:V4"/>
    <mergeCell ref="W4:X4"/>
    <mergeCell ref="AB1:AH1"/>
    <mergeCell ref="B1:J1"/>
    <mergeCell ref="K1:L1"/>
    <mergeCell ref="N1:V1"/>
    <mergeCell ref="W1:X1"/>
    <mergeCell ref="AA2:AG2"/>
    <mergeCell ref="B3:J3"/>
    <mergeCell ref="K3:L3"/>
    <mergeCell ref="N3:V3"/>
    <mergeCell ref="W3:X3"/>
    <mergeCell ref="AA3:AG3"/>
    <mergeCell ref="B2:J2"/>
    <mergeCell ref="K2:L2"/>
    <mergeCell ref="N2:V2"/>
    <mergeCell ref="W2:X2"/>
  </mergeCells>
  <phoneticPr fontId="4" type="noConversion"/>
  <pageMargins left="0.16" right="0.16" top="0.19" bottom="0.12" header="0.15" footer="0.08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"/>
  <sheetViews>
    <sheetView zoomScale="75" workbookViewId="0">
      <selection activeCell="E5" sqref="E5"/>
    </sheetView>
  </sheetViews>
  <sheetFormatPr defaultRowHeight="12.75"/>
  <cols>
    <col min="1" max="1" width="21.140625" customWidth="1"/>
    <col min="2" max="2" width="7.28515625" customWidth="1"/>
    <col min="3" max="3" width="5.5703125" customWidth="1"/>
    <col min="4" max="4" width="5.85546875" customWidth="1"/>
    <col min="5" max="5" width="6.5703125" customWidth="1"/>
    <col min="6" max="6" width="5.42578125" customWidth="1"/>
    <col min="7" max="7" width="6" customWidth="1"/>
    <col min="8" max="8" width="6.140625" customWidth="1"/>
    <col min="9" max="9" width="2.85546875" customWidth="1"/>
    <col min="10" max="10" width="0.5703125" customWidth="1"/>
    <col min="11" max="11" width="6.5703125" customWidth="1"/>
    <col min="12" max="12" width="6" customWidth="1"/>
    <col min="13" max="13" width="0.42578125" customWidth="1"/>
    <col min="14" max="14" width="5.7109375" customWidth="1"/>
    <col min="15" max="15" width="6.42578125" customWidth="1"/>
    <col min="16" max="16" width="7" customWidth="1"/>
    <col min="17" max="18" width="5.28515625" customWidth="1"/>
    <col min="19" max="20" width="5.7109375" customWidth="1"/>
    <col min="21" max="21" width="5.28515625" customWidth="1"/>
    <col min="22" max="22" width="1" customWidth="1"/>
    <col min="23" max="23" width="6.28515625" customWidth="1"/>
    <col min="24" max="24" width="5.5703125" customWidth="1"/>
    <col min="25" max="25" width="5.28515625" customWidth="1"/>
    <col min="26" max="26" width="5.5703125" customWidth="1"/>
    <col min="27" max="27" width="5.42578125" customWidth="1"/>
    <col min="28" max="28" width="5.28515625" customWidth="1"/>
    <col min="29" max="29" width="6" customWidth="1"/>
    <col min="30" max="31" width="6.140625" customWidth="1"/>
    <col min="32" max="32" width="5.7109375" customWidth="1"/>
    <col min="33" max="33" width="0.28515625" customWidth="1"/>
    <col min="34" max="34" width="6" customWidth="1"/>
  </cols>
  <sheetData>
    <row r="1" spans="1:37" ht="13.5" thickBot="1">
      <c r="A1" s="1" t="s">
        <v>75</v>
      </c>
      <c r="B1" s="83" t="s">
        <v>89</v>
      </c>
      <c r="C1" s="82"/>
      <c r="D1" s="82"/>
      <c r="E1" s="82"/>
      <c r="F1" s="82"/>
      <c r="G1" s="82"/>
      <c r="H1" s="82"/>
      <c r="I1" s="82"/>
      <c r="J1" s="84"/>
      <c r="K1" s="83"/>
      <c r="L1" s="84"/>
      <c r="M1" s="39"/>
      <c r="N1" s="83" t="s">
        <v>90</v>
      </c>
      <c r="O1" s="82"/>
      <c r="P1" s="82"/>
      <c r="Q1" s="82"/>
      <c r="R1" s="82"/>
      <c r="S1" s="82"/>
      <c r="T1" s="82"/>
      <c r="U1" s="82"/>
      <c r="V1" s="84"/>
      <c r="W1" s="83"/>
      <c r="X1" s="82"/>
      <c r="Y1" s="39"/>
      <c r="Z1" s="38"/>
      <c r="AA1" s="37"/>
      <c r="AB1" s="82"/>
      <c r="AC1" s="82"/>
      <c r="AD1" s="82"/>
      <c r="AE1" s="82"/>
      <c r="AF1" s="82"/>
      <c r="AG1" s="82"/>
      <c r="AH1" s="84"/>
    </row>
    <row r="2" spans="1:37" ht="26.25" thickBot="1">
      <c r="A2" s="1" t="s">
        <v>4</v>
      </c>
      <c r="B2" s="77">
        <f>B3*100/2350</f>
        <v>22.462382127659577</v>
      </c>
      <c r="C2" s="73"/>
      <c r="D2" s="73"/>
      <c r="E2" s="73"/>
      <c r="F2" s="73"/>
      <c r="G2" s="73"/>
      <c r="H2" s="73"/>
      <c r="I2" s="73"/>
      <c r="J2" s="78"/>
      <c r="K2" s="77">
        <f>K3*100/B7</f>
        <v>2.2624256791495241</v>
      </c>
      <c r="L2" s="78"/>
      <c r="M2" s="26"/>
      <c r="N2" s="77">
        <f>N3*100/2350</f>
        <v>42.944781489361702</v>
      </c>
      <c r="O2" s="73"/>
      <c r="P2" s="73"/>
      <c r="Q2" s="73"/>
      <c r="R2" s="73"/>
      <c r="S2" s="73"/>
      <c r="T2" s="73"/>
      <c r="U2" s="73"/>
      <c r="V2" s="78"/>
      <c r="W2" s="77">
        <f>W3*100/1970</f>
        <v>0</v>
      </c>
      <c r="X2" s="73"/>
      <c r="Y2" s="26"/>
      <c r="Z2" s="9"/>
      <c r="AA2" s="73">
        <f>AA3*100/B7</f>
        <v>0</v>
      </c>
      <c r="AB2" s="73"/>
      <c r="AC2" s="73"/>
      <c r="AD2" s="73"/>
      <c r="AE2" s="73"/>
      <c r="AF2" s="73"/>
      <c r="AG2" s="78"/>
      <c r="AH2" s="10">
        <f>AH3*100/B7</f>
        <v>0</v>
      </c>
    </row>
    <row r="3" spans="1:37" ht="13.5" thickBot="1">
      <c r="A3" s="2" t="s">
        <v>5</v>
      </c>
      <c r="B3" s="74">
        <f>C7+D7+E7+F7+G7+H7+I7+J7</f>
        <v>527.86598000000004</v>
      </c>
      <c r="C3" s="75"/>
      <c r="D3" s="75"/>
      <c r="E3" s="75"/>
      <c r="F3" s="75"/>
      <c r="G3" s="75"/>
      <c r="H3" s="75"/>
      <c r="I3" s="75"/>
      <c r="J3" s="76"/>
      <c r="K3" s="74">
        <f>K7+L7</f>
        <v>35.58</v>
      </c>
      <c r="L3" s="76"/>
      <c r="M3" s="11"/>
      <c r="N3" s="74">
        <f>N7+O7+P7+Q7+R7+S7+T7+U7+V7</f>
        <v>1009.202365</v>
      </c>
      <c r="O3" s="75"/>
      <c r="P3" s="75"/>
      <c r="Q3" s="75"/>
      <c r="R3" s="75"/>
      <c r="S3" s="75"/>
      <c r="T3" s="75"/>
      <c r="U3" s="75"/>
      <c r="V3" s="76"/>
      <c r="W3" s="77">
        <f>W7+X7+Y7</f>
        <v>0</v>
      </c>
      <c r="X3" s="75"/>
      <c r="Y3" s="11"/>
      <c r="Z3" s="12"/>
      <c r="AA3" s="75">
        <f>Z7+AA7+AB7+AC7+AD7+AE7</f>
        <v>0</v>
      </c>
      <c r="AB3" s="75"/>
      <c r="AC3" s="75"/>
      <c r="AD3" s="75"/>
      <c r="AE3" s="75"/>
      <c r="AF3" s="75"/>
      <c r="AG3" s="75"/>
      <c r="AH3" s="11">
        <f>AH7</f>
        <v>0</v>
      </c>
    </row>
    <row r="4" spans="1:37" ht="12.75" customHeight="1" thickBot="1">
      <c r="A4" s="2"/>
      <c r="B4" s="3"/>
      <c r="C4" s="79" t="s">
        <v>1</v>
      </c>
      <c r="D4" s="80"/>
      <c r="E4" s="80"/>
      <c r="F4" s="80"/>
      <c r="G4" s="80"/>
      <c r="H4" s="80"/>
      <c r="I4" s="80"/>
      <c r="J4" s="81"/>
      <c r="K4" s="79" t="s">
        <v>6</v>
      </c>
      <c r="L4" s="81"/>
      <c r="M4" s="3"/>
      <c r="N4" s="79" t="s">
        <v>7</v>
      </c>
      <c r="O4" s="80"/>
      <c r="P4" s="80"/>
      <c r="Q4" s="80"/>
      <c r="R4" s="80"/>
      <c r="S4" s="80"/>
      <c r="T4" s="80"/>
      <c r="U4" s="80"/>
      <c r="V4" s="81"/>
      <c r="W4" s="79" t="s">
        <v>8</v>
      </c>
      <c r="X4" s="81"/>
      <c r="Y4" s="3"/>
      <c r="Z4" s="79" t="s">
        <v>9</v>
      </c>
      <c r="AA4" s="80"/>
      <c r="AB4" s="80"/>
      <c r="AC4" s="80"/>
      <c r="AD4" s="80"/>
      <c r="AE4" s="80"/>
      <c r="AF4" s="80"/>
      <c r="AG4" s="80"/>
      <c r="AH4" s="3" t="s">
        <v>10</v>
      </c>
    </row>
    <row r="5" spans="1:37" ht="123.75" customHeight="1" thickBot="1">
      <c r="A5" s="2" t="s">
        <v>78</v>
      </c>
      <c r="B5" s="5" t="s">
        <v>11</v>
      </c>
      <c r="C5" s="72" t="s">
        <v>126</v>
      </c>
      <c r="D5" s="72" t="s">
        <v>107</v>
      </c>
      <c r="E5" s="72" t="s">
        <v>142</v>
      </c>
      <c r="F5" s="40" t="s">
        <v>2</v>
      </c>
      <c r="G5" s="5" t="s">
        <v>71</v>
      </c>
      <c r="H5" s="5"/>
      <c r="I5" s="5"/>
      <c r="J5" s="27"/>
      <c r="K5" s="5"/>
      <c r="L5" s="5"/>
      <c r="M5" s="27"/>
      <c r="N5" s="72" t="s">
        <v>103</v>
      </c>
      <c r="O5" s="72" t="s">
        <v>132</v>
      </c>
      <c r="P5" s="72" t="s">
        <v>105</v>
      </c>
      <c r="Q5" s="72" t="s">
        <v>104</v>
      </c>
      <c r="R5" s="72" t="s">
        <v>106</v>
      </c>
      <c r="S5" s="72" t="s">
        <v>144</v>
      </c>
      <c r="T5" s="5" t="s">
        <v>2</v>
      </c>
      <c r="U5" s="5" t="s">
        <v>102</v>
      </c>
      <c r="V5" s="51"/>
      <c r="W5" s="5"/>
      <c r="X5" s="5"/>
      <c r="Y5" s="35"/>
      <c r="Z5" s="5"/>
      <c r="AA5" s="5"/>
      <c r="AB5" s="5"/>
      <c r="AC5" s="5"/>
      <c r="AD5" s="5"/>
      <c r="AE5" s="5"/>
      <c r="AF5" s="5"/>
      <c r="AG5" s="50"/>
      <c r="AH5" s="5"/>
      <c r="AK5" s="44"/>
    </row>
    <row r="6" spans="1:37" ht="13.5" thickBot="1">
      <c r="A6" s="2" t="s">
        <v>15</v>
      </c>
      <c r="B6" s="24"/>
      <c r="C6" s="4">
        <v>100</v>
      </c>
      <c r="D6" s="4">
        <v>40</v>
      </c>
      <c r="E6" s="4">
        <v>200</v>
      </c>
      <c r="F6" s="4">
        <v>20</v>
      </c>
      <c r="G6" s="4">
        <v>10</v>
      </c>
      <c r="H6" s="4"/>
      <c r="I6" s="4"/>
      <c r="J6" s="28"/>
      <c r="K6" s="4"/>
      <c r="L6" s="4"/>
      <c r="M6" s="28"/>
      <c r="N6" s="4">
        <v>60</v>
      </c>
      <c r="O6" s="4">
        <v>200</v>
      </c>
      <c r="P6" s="4">
        <v>100</v>
      </c>
      <c r="Q6" s="4">
        <v>150</v>
      </c>
      <c r="R6" s="4">
        <v>200</v>
      </c>
      <c r="S6" s="4">
        <v>25</v>
      </c>
      <c r="T6" s="4">
        <v>50</v>
      </c>
      <c r="U6" s="4">
        <v>40</v>
      </c>
      <c r="V6" s="30"/>
      <c r="W6" s="4"/>
      <c r="X6" s="4"/>
      <c r="Y6" s="24"/>
      <c r="Z6" s="4"/>
      <c r="AA6" s="4"/>
      <c r="AB6" s="4"/>
      <c r="AC6" s="4"/>
      <c r="AD6" s="4"/>
      <c r="AE6" s="4"/>
      <c r="AF6" s="4"/>
      <c r="AG6" s="31"/>
      <c r="AH6" s="4"/>
      <c r="AK6" s="46"/>
    </row>
    <row r="7" spans="1:37" ht="13.5" thickBot="1">
      <c r="A7" s="2" t="s">
        <v>0</v>
      </c>
      <c r="B7" s="7">
        <f>C7+D7+E7+F7+G7+H7+I7+J7+K7+L7+M7+N7+O7+P7+Q7+R7+S7+T7+U7+V7+W7+X7+Y7+Z7+AA7+AB7+AC7+AD7+AE7+AF7+AH7</f>
        <v>1572.6483450000001</v>
      </c>
      <c r="C7" s="8">
        <f t="shared" ref="C7:I7" si="0">C8*1.1928+C9*1.1928+C10*1.3875+C11*1.1928+C12*3.01+C13*3.01+C14*0.783+C15*7.09+C16*8.99+C17*0.52+C18*1.18+C19*1.56+C20*3.6+C21*1.3659+C22*3.34+C23*3.68+C24*3.314+C25*3.314+C26*3.314+C27*3.314+C28*3.314+C29*3.314+C30*3.314+C31*3.314+C32*3.74+C34*3.558+C35*0.466+C36*0.396+C37*0.56+C38*0.2744+C39*0.2744+C40*0.2744+C41*0.2744+C42*0.2744+C43*0.2744+C44*2.26+C45*1.81+C46*3.78+C49*0.31+C50*3.69</f>
        <v>241.32867999999999</v>
      </c>
      <c r="D7" s="8">
        <f t="shared" si="0"/>
        <v>64.197299999999998</v>
      </c>
      <c r="E7" s="8">
        <f t="shared" si="0"/>
        <v>141.56</v>
      </c>
      <c r="F7" s="8">
        <f t="shared" si="0"/>
        <v>45.199999999999996</v>
      </c>
      <c r="G7" s="8">
        <f>G8*1.1928+G9*1.1928+G10*1.3875+G11*1.1928+G12*3.01+G13*3.01+G14*0.783+G15*7.09+G16*8.99+G17*0.52+G18*1.18+G19*1.56+G20*3.6+G21*1.3659+G22*3.34+G23*3.68+G24*3.314+G25*3.314+G26*3.314+G27*3.314+G28*3.314+G29*3.314+G30*3.314+G31*3.314+G32*3.74+G34*3.558+G35*0.466+G36*0.396+G37*0.56+G38*0.2744+G39*0.2744+G40*0.2744+G41*0.2744+G42*0.2744+G43*0.2744+G44*2.26+G45*1.81+G46*3.78+G49*0.31+G50*3.69</f>
        <v>35.58</v>
      </c>
      <c r="H7" s="8">
        <f t="shared" si="0"/>
        <v>0</v>
      </c>
      <c r="I7" s="8">
        <f t="shared" si="0"/>
        <v>0</v>
      </c>
      <c r="J7" s="29"/>
      <c r="K7" s="8">
        <f>K8*1.1928+K9*1.1928+K10*1.3875+K11*1.1928+K12*3.01+K13*3.01+K14*0.783+K15*7.09+K16*8.99+K17*0.52+K18*1.18+K19*1.56+K20*3.6+K21*1.3659+K22*3.34+K23*3.68+K24*3.314+K25*3.314+K26*3.314+K27*3.314+K28*3.314+K29*3.314+K30*3.314+K31*3.314+K32*3.74+K34*3.558+K35*0.466+K36*0.396+K37*0.56+K38*0.2744+K39*0.2744+K40*0.2744+K41*0.2744+K42*0.2744+K43*0.2744+K44*2.26+K45*1.81+K46*3.78+K49*0.31+K50*3.69</f>
        <v>0</v>
      </c>
      <c r="L7" s="8">
        <f>L8*1.1928+L9*1.1928+L10*1.3875+L11*1.1928+L12*3.01+L13*3.01+L14*0.783+L15*7.09+L16*8.99+L17*0.52+L18*1.18+L19*1.56+L20*3.6+L21*1.3659+L22*3.34+L23*3.68+L24*3.314+L25*3.314+L26*3.314+L27*3.314+L28*3.314+L29*3.314+L30*3.314+L31*3.314+L32*3.74+L34*3.558+L35*0.466+L36*0.396+L37*0.56+L38*0.2744+L39*0.2744+L40*0.2744+L41*0.2744+L42*0.2744+L43*0.2744+L44*2.26+L45*1.81+L46*3.78+L49*0.31+L50*3.69</f>
        <v>35.58</v>
      </c>
      <c r="M7" s="29"/>
      <c r="N7" s="8">
        <f t="shared" ref="N7:U7" si="1">N8*1.1928+N9*1.1928+N10*1.3875+N11*1.1928+N12*3.01+N13*3.01+N14*0.783+N15*7.09+N16*8.99+N17*0.52+N18*1.18+N19*1.56+N20*3.6+N21*1.3659+N22*3.34+N23*3.68+N24*3.314+N25*3.314+N26*3.314+N27*3.314+N28*3.314+N29*3.314+N30*3.314+N31*3.314+N32*3.74+N34*3.558+N35*0.466+N36*0.396+N37*0.56+N38*0.2744+N39*0.2744+N40*0.2744+N41*0.2744+N42*0.2744+N43*0.2744+N44*2.26+N45*1.81+N46*3.78+N49*0.31+N50*3.69</f>
        <v>56.574799999999996</v>
      </c>
      <c r="O7" s="8">
        <f t="shared" si="1"/>
        <v>82.088000000000008</v>
      </c>
      <c r="P7" s="8">
        <f t="shared" si="1"/>
        <v>290.24639999999999</v>
      </c>
      <c r="Q7" s="8">
        <f t="shared" si="1"/>
        <v>226.81350000000003</v>
      </c>
      <c r="R7" s="8">
        <f t="shared" si="1"/>
        <v>125.72000000000001</v>
      </c>
      <c r="S7" s="8">
        <f t="shared" si="1"/>
        <v>42.359665</v>
      </c>
      <c r="T7" s="8">
        <f t="shared" si="1"/>
        <v>112.99999999999999</v>
      </c>
      <c r="U7" s="8">
        <f t="shared" si="1"/>
        <v>72.400000000000006</v>
      </c>
      <c r="V7" s="29"/>
      <c r="W7" s="8"/>
      <c r="X7" s="8"/>
      <c r="Y7" s="8">
        <f>Y8*1.1928+Y9*1.1928+Y10*1.3875+Y11*1.1928+Y12*3.01+Y13*3.01+Y14*0.783+Y15*7.09+Y16*8.99+Y17*0.52+Y18*1.18+Y19*1.56+Y20*3.6+Y21*1.3659+Y22*3.34+Y23*3.68+Y24*3.314+Y25*3.314+Y26*3.314+Y27*3.314+Y28*3.314+Y29*3.314+Y30*3.314+Y31*3.314+Y32*3.74+Y34*3.558+Y35*0.466+Y36*0.396+Y37*0.56+Y38*0.2744+Y39*0.2744+Y40*0.2744+Y41*0.2744+Y42*0.2744+Y43*0.2744+Y44*2.26+Y45*1.81+Y46*3.78+Y49*0.31+Y50*3.69</f>
        <v>0</v>
      </c>
      <c r="Z7" s="8">
        <f t="shared" ref="Z7:AF7" si="2">Z8*1.1928+Z9*1.1928+Z10*1.3875+Z11*1.1928+Z12*3.01+Z13*3.01+Z14*0.783+Z15*7.09+Z16*8.99+Z17*0.52+Z18*1.18+Z19*1.56+Z20*3.6+Z21*1.3659+Z22*3.34+Z23*3.68+Z24*3.314+Z25*3.314+Z26*3.314+Z27*3.314+Z28*3.314+Z29*3.314+Z30*3.314+Z31*3.314+Z32*3.74+Z34*3.558+Z35*0.466+Z36*0.396+Z37*0.56+Z38*0.2744+Z39*0.2744+Z40*0.2744+Z41*0.2744+Z42*0.2744+Z43*0.2744+Z44*2.26+Z45*1.81+Z46*3.78+Z49*0.31+Z50*3.69</f>
        <v>0</v>
      </c>
      <c r="AA7" s="8">
        <f t="shared" si="2"/>
        <v>0</v>
      </c>
      <c r="AB7" s="8">
        <f t="shared" si="2"/>
        <v>0</v>
      </c>
      <c r="AC7" s="8">
        <f t="shared" si="2"/>
        <v>0</v>
      </c>
      <c r="AD7" s="8">
        <f t="shared" si="2"/>
        <v>0</v>
      </c>
      <c r="AE7" s="8">
        <f t="shared" si="2"/>
        <v>0</v>
      </c>
      <c r="AF7" s="8">
        <f t="shared" si="2"/>
        <v>0</v>
      </c>
      <c r="AG7" s="31"/>
      <c r="AH7" s="8">
        <f>AH8*1.1928+AH9*1.1928+AH10*1.3875+AH11*1.1928+AH12*3.01+AH13*3.01+AH14*0.783+AH15*7.09+AH16*8.99+AH17*0.52+AH18*1.18+AH19*1.56+AH20*3.6+AH21*1.3659+AH22*3.34+AH23*3.68+AH24*3.314+AH25*3.314+AH26*3.314+AH27*3.314+AH28*3.314+AH29*3.314+AH30*3.314+AH31*3.314+AH32*3.74+AH34*3.558+AH35*0.466+AH36*0.396+AH37*0.56+AH38*0.2744+AH39*0.2744+AH40*0.2744+AH41*0.2744+AH42*0.2744+AH43*0.2744+AH44*2.26+AH45*1.81+AH46*3.78+AH49*0.31+AH50*3.69</f>
        <v>0</v>
      </c>
      <c r="AK7" s="46"/>
    </row>
    <row r="8" spans="1:37" ht="13.5" thickBot="1">
      <c r="A8" s="2" t="s">
        <v>16</v>
      </c>
      <c r="B8" s="64">
        <f t="shared" ref="B8:B50" si="3">C8+D8+E8+F8+G8+H8+I8+J8+K8+L8+M8+N8+O8+P8+Q8+R8+S8+T8+U8+V8+W8+X8+Y8+Z8+AA8+AB8+AC8+AD8+AE8+AF8+AG8+AH8</f>
        <v>0</v>
      </c>
      <c r="C8" s="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K8" s="43"/>
    </row>
    <row r="9" spans="1:37" ht="13.5" thickBot="1">
      <c r="A9" s="2" t="s">
        <v>17</v>
      </c>
      <c r="B9" s="64">
        <f t="shared" si="3"/>
        <v>0</v>
      </c>
      <c r="C9" s="6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K9" s="43"/>
    </row>
    <row r="10" spans="1:37" ht="13.5" thickBot="1">
      <c r="A10" s="2" t="s">
        <v>18</v>
      </c>
      <c r="B10" s="64">
        <f t="shared" si="3"/>
        <v>208</v>
      </c>
      <c r="C10" s="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>
        <v>208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K10" s="43"/>
    </row>
    <row r="11" spans="1:37" ht="13.5" thickBot="1">
      <c r="A11" s="2" t="s">
        <v>19</v>
      </c>
      <c r="B11" s="64">
        <f t="shared" si="3"/>
        <v>0</v>
      </c>
      <c r="C11" s="6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K11" s="43"/>
    </row>
    <row r="12" spans="1:37" ht="13.5" thickBot="1">
      <c r="A12" s="2" t="s">
        <v>20</v>
      </c>
      <c r="B12" s="64">
        <f t="shared" si="3"/>
        <v>0</v>
      </c>
      <c r="C12" s="6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K12" s="43"/>
    </row>
    <row r="13" spans="1:37" ht="13.5" thickBot="1">
      <c r="A13" s="2" t="s">
        <v>21</v>
      </c>
      <c r="B13" s="64">
        <f t="shared" si="3"/>
        <v>0</v>
      </c>
      <c r="C13" s="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K13" s="43"/>
    </row>
    <row r="14" spans="1:37" ht="13.5" thickBot="1">
      <c r="A14" s="2" t="s">
        <v>22</v>
      </c>
      <c r="B14" s="64">
        <f t="shared" si="3"/>
        <v>35</v>
      </c>
      <c r="C14" s="6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>
        <v>35</v>
      </c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K14" s="43"/>
    </row>
    <row r="15" spans="1:37" ht="13.5" thickBot="1">
      <c r="A15" s="2" t="s">
        <v>23</v>
      </c>
      <c r="B15" s="64">
        <f t="shared" si="3"/>
        <v>13.15</v>
      </c>
      <c r="C15" s="6">
        <v>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>
        <v>2.4</v>
      </c>
      <c r="P15" s="65"/>
      <c r="Q15" s="65">
        <v>6.75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K15" s="43"/>
    </row>
    <row r="16" spans="1:37" ht="13.5" thickBot="1">
      <c r="A16" s="2" t="s">
        <v>24</v>
      </c>
      <c r="B16" s="64">
        <f t="shared" si="3"/>
        <v>6</v>
      </c>
      <c r="C16" s="6"/>
      <c r="D16" s="65"/>
      <c r="E16" s="65"/>
      <c r="F16" s="65"/>
      <c r="G16" s="65"/>
      <c r="H16" s="65"/>
      <c r="I16" s="65"/>
      <c r="J16" s="65"/>
      <c r="K16" s="65"/>
      <c r="L16" s="65"/>
      <c r="M16" s="65">
        <v>3</v>
      </c>
      <c r="N16" s="65">
        <v>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K16" s="43"/>
    </row>
    <row r="17" spans="1:37" ht="13.5" thickBot="1">
      <c r="A17" s="2" t="s">
        <v>54</v>
      </c>
      <c r="B17" s="64">
        <f t="shared" si="3"/>
        <v>105</v>
      </c>
      <c r="C17" s="6"/>
      <c r="D17" s="65"/>
      <c r="E17" s="65">
        <v>100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>
        <v>5</v>
      </c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K17" s="43"/>
    </row>
    <row r="18" spans="1:37" ht="13.5" thickBot="1">
      <c r="A18" s="2" t="s">
        <v>25</v>
      </c>
      <c r="B18" s="64">
        <f t="shared" si="3"/>
        <v>4</v>
      </c>
      <c r="C18" s="6">
        <v>4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K18" s="43"/>
    </row>
    <row r="19" spans="1:37" ht="13.5" thickBot="1">
      <c r="A19" s="2" t="s">
        <v>26</v>
      </c>
      <c r="B19" s="64">
        <f t="shared" si="3"/>
        <v>94.6</v>
      </c>
      <c r="C19" s="6">
        <v>94.6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K19" s="43"/>
    </row>
    <row r="20" spans="1:37" ht="13.5" thickBot="1">
      <c r="A20" s="2" t="s">
        <v>27</v>
      </c>
      <c r="B20" s="64">
        <f t="shared" si="3"/>
        <v>0</v>
      </c>
      <c r="C20" s="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K20" s="43"/>
    </row>
    <row r="21" spans="1:37" ht="13.5" thickBot="1">
      <c r="A21" s="2" t="s">
        <v>14</v>
      </c>
      <c r="B21" s="64">
        <f t="shared" si="3"/>
        <v>52.550000000000004</v>
      </c>
      <c r="C21" s="6">
        <v>3.2</v>
      </c>
      <c r="D21" s="65">
        <v>47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>
        <v>2.35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K21" s="43"/>
    </row>
    <row r="22" spans="1:37" ht="13.5" thickBot="1">
      <c r="A22" s="2" t="s">
        <v>28</v>
      </c>
      <c r="B22" s="64">
        <f t="shared" si="3"/>
        <v>0</v>
      </c>
      <c r="C22" s="6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K22" s="43"/>
    </row>
    <row r="23" spans="1:37" ht="13.5" thickBot="1">
      <c r="A23" s="2" t="s">
        <v>29</v>
      </c>
      <c r="B23" s="64">
        <f t="shared" si="3"/>
        <v>24</v>
      </c>
      <c r="C23" s="6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>
        <v>24</v>
      </c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K23" s="43"/>
    </row>
    <row r="24" spans="1:37" ht="13.5" thickBot="1">
      <c r="A24" s="2" t="s">
        <v>30</v>
      </c>
      <c r="B24" s="64">
        <f t="shared" si="3"/>
        <v>0</v>
      </c>
      <c r="C24" s="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K24" s="43"/>
    </row>
    <row r="25" spans="1:37" ht="13.5" thickBot="1">
      <c r="A25" s="2" t="s">
        <v>31</v>
      </c>
      <c r="B25" s="64">
        <f t="shared" si="3"/>
        <v>0</v>
      </c>
      <c r="C25" s="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K25" s="43"/>
    </row>
    <row r="26" spans="1:37" ht="13.5" thickBot="1">
      <c r="A26" s="2" t="s">
        <v>32</v>
      </c>
      <c r="B26" s="64">
        <f t="shared" si="3"/>
        <v>0</v>
      </c>
      <c r="C26" s="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K26" s="43"/>
    </row>
    <row r="27" spans="1:37" ht="13.5" thickBot="1">
      <c r="A27" s="2" t="s">
        <v>33</v>
      </c>
      <c r="B27" s="64">
        <f t="shared" si="3"/>
        <v>6.7</v>
      </c>
      <c r="C27" s="6">
        <v>6.7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K27" s="43"/>
    </row>
    <row r="28" spans="1:37" ht="13.5" thickBot="1">
      <c r="A28" s="2" t="s">
        <v>34</v>
      </c>
      <c r="B28" s="64">
        <f t="shared" si="3"/>
        <v>54</v>
      </c>
      <c r="C28" s="6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>
        <v>54</v>
      </c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K28" s="43"/>
    </row>
    <row r="29" spans="1:37" ht="13.5" thickBot="1">
      <c r="A29" s="2" t="s">
        <v>35</v>
      </c>
      <c r="B29" s="64">
        <f t="shared" si="3"/>
        <v>0</v>
      </c>
      <c r="C29" s="6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K29" s="43"/>
    </row>
    <row r="30" spans="1:37" ht="13.5" thickBot="1">
      <c r="A30" s="2" t="s">
        <v>36</v>
      </c>
      <c r="B30" s="64">
        <f t="shared" si="3"/>
        <v>0</v>
      </c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K30" s="43"/>
    </row>
    <row r="31" spans="1:37" ht="13.5" thickBot="1">
      <c r="A31" s="2" t="s">
        <v>37</v>
      </c>
      <c r="B31" s="64">
        <f t="shared" si="3"/>
        <v>0</v>
      </c>
      <c r="C31" s="6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K31" s="43"/>
    </row>
    <row r="32" spans="1:37" ht="13.5" thickBot="1">
      <c r="A32" s="2" t="s">
        <v>38</v>
      </c>
      <c r="B32" s="64">
        <f t="shared" si="3"/>
        <v>42.7</v>
      </c>
      <c r="C32" s="6">
        <v>6.7</v>
      </c>
      <c r="D32" s="65"/>
      <c r="E32" s="65">
        <v>20</v>
      </c>
      <c r="F32" s="65"/>
      <c r="G32" s="65"/>
      <c r="H32" s="65"/>
      <c r="I32" s="65"/>
      <c r="J32" s="65"/>
      <c r="K32" s="65"/>
      <c r="L32" s="65"/>
      <c r="M32" s="65">
        <v>3</v>
      </c>
      <c r="N32" s="65">
        <v>3</v>
      </c>
      <c r="O32" s="65"/>
      <c r="P32" s="65"/>
      <c r="Q32" s="65"/>
      <c r="R32" s="65">
        <v>10</v>
      </c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K32" s="43"/>
    </row>
    <row r="33" spans="1:37" ht="13.5" thickBot="1">
      <c r="A33" s="2" t="s">
        <v>39</v>
      </c>
      <c r="B33" s="64">
        <f t="shared" si="3"/>
        <v>0</v>
      </c>
      <c r="C33" s="6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K33" s="43"/>
    </row>
    <row r="34" spans="1:37" ht="13.5" thickBot="1">
      <c r="A34" s="2" t="s">
        <v>40</v>
      </c>
      <c r="B34" s="64">
        <f t="shared" si="3"/>
        <v>20</v>
      </c>
      <c r="C34" s="6"/>
      <c r="D34" s="65"/>
      <c r="E34" s="65"/>
      <c r="F34" s="65"/>
      <c r="G34" s="65">
        <v>10</v>
      </c>
      <c r="H34" s="65"/>
      <c r="I34" s="65"/>
      <c r="J34" s="65"/>
      <c r="K34" s="65"/>
      <c r="L34" s="65">
        <v>10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K34" s="43"/>
    </row>
    <row r="35" spans="1:37" ht="13.5" thickBot="1">
      <c r="A35" s="2" t="s">
        <v>41</v>
      </c>
      <c r="B35" s="64">
        <f t="shared" si="3"/>
        <v>0</v>
      </c>
      <c r="C35" s="6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K35" s="43"/>
    </row>
    <row r="36" spans="1:37" ht="13.5" thickBot="1">
      <c r="A36" s="2" t="s">
        <v>42</v>
      </c>
      <c r="B36" s="64">
        <f t="shared" si="3"/>
        <v>0</v>
      </c>
      <c r="C36" s="6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K36" s="43"/>
    </row>
    <row r="37" spans="1:37" ht="13.5" thickBot="1">
      <c r="A37" s="2" t="s">
        <v>43</v>
      </c>
      <c r="B37" s="64">
        <f t="shared" si="3"/>
        <v>106.4</v>
      </c>
      <c r="C37" s="6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>
        <v>106.4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K37" s="43"/>
    </row>
    <row r="38" spans="1:37" ht="13.5" thickBot="1">
      <c r="A38" s="2" t="s">
        <v>44</v>
      </c>
      <c r="B38" s="64">
        <f t="shared" si="3"/>
        <v>118</v>
      </c>
      <c r="C38" s="6"/>
      <c r="D38" s="65"/>
      <c r="E38" s="65"/>
      <c r="F38" s="65"/>
      <c r="G38" s="65"/>
      <c r="H38" s="65"/>
      <c r="I38" s="65"/>
      <c r="J38" s="65"/>
      <c r="K38" s="65"/>
      <c r="L38" s="65"/>
      <c r="M38" s="65">
        <v>59</v>
      </c>
      <c r="N38" s="65">
        <v>59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K38" s="43"/>
    </row>
    <row r="39" spans="1:37" ht="13.5" thickBot="1">
      <c r="A39" s="2" t="s">
        <v>45</v>
      </c>
      <c r="B39" s="64">
        <f t="shared" si="3"/>
        <v>26.4</v>
      </c>
      <c r="C39" s="6"/>
      <c r="D39" s="65"/>
      <c r="E39" s="65"/>
      <c r="F39" s="65"/>
      <c r="G39" s="65"/>
      <c r="H39" s="65"/>
      <c r="I39" s="65"/>
      <c r="J39" s="65"/>
      <c r="K39" s="65"/>
      <c r="L39" s="65"/>
      <c r="M39" s="65">
        <v>8</v>
      </c>
      <c r="N39" s="65">
        <v>8</v>
      </c>
      <c r="O39" s="65">
        <v>10.4</v>
      </c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K39" s="43"/>
    </row>
    <row r="40" spans="1:37" ht="13.5" thickBot="1">
      <c r="A40" s="2" t="s">
        <v>46</v>
      </c>
      <c r="B40" s="64">
        <f t="shared" si="3"/>
        <v>20.100000000000001</v>
      </c>
      <c r="C40" s="6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>
        <v>9.6</v>
      </c>
      <c r="P40" s="65">
        <v>6</v>
      </c>
      <c r="Q40" s="65"/>
      <c r="R40" s="65"/>
      <c r="S40" s="65">
        <v>4.5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K40" s="43"/>
    </row>
    <row r="41" spans="1:37" ht="13.5" thickBot="1">
      <c r="A41" s="2" t="s">
        <v>47</v>
      </c>
      <c r="B41" s="64">
        <f t="shared" si="3"/>
        <v>0</v>
      </c>
      <c r="C41" s="6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K41" s="43"/>
    </row>
    <row r="42" spans="1:37" ht="13.5" thickBot="1">
      <c r="A42" s="2" t="s">
        <v>48</v>
      </c>
      <c r="B42" s="64">
        <f t="shared" si="3"/>
        <v>0</v>
      </c>
      <c r="C42" s="6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K42" s="43"/>
    </row>
    <row r="43" spans="1:37" ht="13.5" thickBot="1">
      <c r="A43" s="2" t="s">
        <v>49</v>
      </c>
      <c r="B43" s="64">
        <f t="shared" si="3"/>
        <v>0</v>
      </c>
      <c r="C43" s="6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K43" s="43"/>
    </row>
    <row r="44" spans="1:37" ht="13.5" thickBot="1">
      <c r="A44" s="2" t="s">
        <v>2</v>
      </c>
      <c r="B44" s="64">
        <f t="shared" si="3"/>
        <v>77.5</v>
      </c>
      <c r="C44" s="6">
        <v>4</v>
      </c>
      <c r="D44" s="65"/>
      <c r="E44" s="65"/>
      <c r="F44" s="65">
        <v>20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>
        <v>3.5</v>
      </c>
      <c r="T44" s="65">
        <v>50</v>
      </c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K44" s="43"/>
    </row>
    <row r="45" spans="1:37" ht="13.5" thickBot="1">
      <c r="A45" s="2" t="s">
        <v>3</v>
      </c>
      <c r="B45" s="64">
        <f t="shared" si="3"/>
        <v>40</v>
      </c>
      <c r="C45" s="6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>
        <v>40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K45" s="43"/>
    </row>
    <row r="46" spans="1:37" ht="13.5" thickBot="1">
      <c r="A46" s="2" t="s">
        <v>50</v>
      </c>
      <c r="B46" s="64">
        <f t="shared" si="3"/>
        <v>0</v>
      </c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K46" s="43"/>
    </row>
    <row r="47" spans="1:37" ht="13.5" thickBot="1">
      <c r="A47" s="2" t="s">
        <v>51</v>
      </c>
      <c r="B47" s="64">
        <f t="shared" si="3"/>
        <v>0</v>
      </c>
      <c r="C47" s="6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K47" s="43"/>
    </row>
    <row r="48" spans="1:37" ht="13.5" thickBot="1">
      <c r="A48" s="2" t="s">
        <v>52</v>
      </c>
      <c r="B48" s="64">
        <f t="shared" si="3"/>
        <v>2.4</v>
      </c>
      <c r="C48" s="6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>
        <v>2.4</v>
      </c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K48" s="43"/>
    </row>
    <row r="49" spans="1:37" ht="13.5" thickBot="1">
      <c r="A49" s="2" t="s">
        <v>13</v>
      </c>
      <c r="B49" s="64">
        <f t="shared" si="3"/>
        <v>0</v>
      </c>
      <c r="C49" s="6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K49" s="43"/>
    </row>
    <row r="50" spans="1:37" ht="13.5" thickBot="1">
      <c r="A50" s="2" t="s">
        <v>53</v>
      </c>
      <c r="B50" s="64">
        <f t="shared" si="3"/>
        <v>4</v>
      </c>
      <c r="C50" s="6"/>
      <c r="D50" s="65"/>
      <c r="E50" s="65">
        <v>4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K50" s="43"/>
    </row>
    <row r="51" spans="1:37" ht="26.25" thickBot="1">
      <c r="A51" s="2" t="s">
        <v>115</v>
      </c>
      <c r="B51" s="64">
        <f>C51+D51+E51+F51+G51+H51+I51+J51+K51+L51+M51+N51+O51+P51+Q51+R51+S51+T51+U51+V51+W51+X51+Y51+Z51+AA51+AB51+AC51+AD51+AE51+AF51+AG51+AI51</f>
        <v>0</v>
      </c>
      <c r="C51" s="2"/>
      <c r="D51" s="2"/>
      <c r="E51" s="2"/>
      <c r="F51" s="2"/>
      <c r="G51" s="65"/>
      <c r="H51" s="2"/>
      <c r="I51" s="2"/>
      <c r="J51" s="65"/>
      <c r="K51" s="2"/>
      <c r="L51" s="6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5"/>
    </row>
  </sheetData>
  <mergeCells count="20">
    <mergeCell ref="K2:L2"/>
    <mergeCell ref="N2:V2"/>
    <mergeCell ref="W2:X2"/>
    <mergeCell ref="Z4:AG4"/>
    <mergeCell ref="C4:J4"/>
    <mergeCell ref="K4:L4"/>
    <mergeCell ref="N4:V4"/>
    <mergeCell ref="W4:X4"/>
    <mergeCell ref="AA3:AG3"/>
    <mergeCell ref="W3:X3"/>
    <mergeCell ref="B2:J2"/>
    <mergeCell ref="AB1:AH1"/>
    <mergeCell ref="B3:J3"/>
    <mergeCell ref="K3:L3"/>
    <mergeCell ref="N3:V3"/>
    <mergeCell ref="B1:J1"/>
    <mergeCell ref="K1:L1"/>
    <mergeCell ref="N1:V1"/>
    <mergeCell ref="W1:X1"/>
    <mergeCell ref="AA2:AG2"/>
  </mergeCells>
  <phoneticPr fontId="4" type="noConversion"/>
  <pageMargins left="0.28000000000000003" right="0.16" top="0.27" bottom="0.23" header="0.16" footer="0.19"/>
  <pageSetup paperSize="9" scale="7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1"/>
  <sheetViews>
    <sheetView zoomScale="75" workbookViewId="0">
      <selection activeCell="F5" sqref="F5"/>
    </sheetView>
  </sheetViews>
  <sheetFormatPr defaultRowHeight="12.75"/>
  <cols>
    <col min="1" max="1" width="21.140625" customWidth="1"/>
    <col min="2" max="2" width="6.42578125" customWidth="1"/>
    <col min="3" max="3" width="6.28515625" customWidth="1"/>
    <col min="4" max="4" width="5.85546875" customWidth="1"/>
    <col min="5" max="6" width="5.42578125" customWidth="1"/>
    <col min="7" max="7" width="7.5703125" customWidth="1"/>
    <col min="8" max="8" width="6" customWidth="1"/>
    <col min="9" max="9" width="5.42578125" customWidth="1"/>
    <col min="10" max="10" width="0.85546875" customWidth="1"/>
    <col min="11" max="11" width="6.7109375" customWidth="1"/>
    <col min="12" max="12" width="4.7109375" customWidth="1"/>
    <col min="13" max="13" width="0.7109375" customWidth="1"/>
    <col min="14" max="14" width="5.5703125" customWidth="1"/>
    <col min="15" max="15" width="6.7109375" customWidth="1"/>
    <col min="16" max="16" width="6.85546875" customWidth="1"/>
    <col min="17" max="17" width="6" customWidth="1"/>
    <col min="18" max="18" width="6.42578125" customWidth="1"/>
    <col min="19" max="19" width="5.42578125" customWidth="1"/>
    <col min="20" max="20" width="5.7109375" customWidth="1"/>
    <col min="21" max="21" width="4.7109375" customWidth="1"/>
    <col min="22" max="22" width="1" customWidth="1"/>
    <col min="23" max="23" width="6.28515625" customWidth="1"/>
    <col min="24" max="24" width="5.28515625" customWidth="1"/>
    <col min="25" max="25" width="4.85546875" customWidth="1"/>
    <col min="26" max="26" width="1.42578125" customWidth="1"/>
    <col min="27" max="28" width="5.42578125" customWidth="1"/>
    <col min="29" max="29" width="5.85546875" customWidth="1"/>
    <col min="30" max="30" width="6" customWidth="1"/>
    <col min="31" max="32" width="6.140625" customWidth="1"/>
    <col min="33" max="33" width="5.7109375" customWidth="1"/>
    <col min="34" max="34" width="1" customWidth="1"/>
    <col min="35" max="35" width="6.140625" customWidth="1"/>
  </cols>
  <sheetData>
    <row r="1" spans="1:37" ht="13.5" thickBot="1">
      <c r="A1" s="1" t="s">
        <v>75</v>
      </c>
      <c r="B1" s="83" t="s">
        <v>89</v>
      </c>
      <c r="C1" s="82"/>
      <c r="D1" s="82"/>
      <c r="E1" s="82"/>
      <c r="F1" s="82"/>
      <c r="G1" s="82"/>
      <c r="H1" s="82"/>
      <c r="I1" s="82"/>
      <c r="J1" s="84"/>
      <c r="K1" s="83"/>
      <c r="L1" s="84"/>
      <c r="M1" s="39"/>
      <c r="N1" s="83" t="s">
        <v>90</v>
      </c>
      <c r="O1" s="82"/>
      <c r="P1" s="82"/>
      <c r="Q1" s="82"/>
      <c r="R1" s="82"/>
      <c r="S1" s="82"/>
      <c r="T1" s="82"/>
      <c r="U1" s="82"/>
      <c r="V1" s="84"/>
      <c r="W1" s="83">
        <v>15</v>
      </c>
      <c r="X1" s="82"/>
      <c r="Y1" s="39"/>
      <c r="Z1" s="38"/>
      <c r="AA1" s="37"/>
      <c r="AB1" s="38"/>
      <c r="AC1" s="82"/>
      <c r="AD1" s="82"/>
      <c r="AE1" s="82"/>
      <c r="AF1" s="82"/>
      <c r="AG1" s="82"/>
      <c r="AH1" s="82"/>
      <c r="AI1" s="82"/>
      <c r="AJ1" s="41"/>
    </row>
    <row r="2" spans="1:37" ht="26.25" thickBot="1">
      <c r="A2" s="1" t="s">
        <v>4</v>
      </c>
      <c r="B2" s="77">
        <f>B3*100/2350</f>
        <v>20.143974468085108</v>
      </c>
      <c r="C2" s="73"/>
      <c r="D2" s="73"/>
      <c r="E2" s="73"/>
      <c r="F2" s="73"/>
      <c r="G2" s="73"/>
      <c r="H2" s="73"/>
      <c r="I2" s="73"/>
      <c r="J2" s="78"/>
      <c r="K2" s="77">
        <f>K3*100/B7</f>
        <v>0</v>
      </c>
      <c r="L2" s="78"/>
      <c r="M2" s="10"/>
      <c r="N2" s="77">
        <f>N3*100/2350</f>
        <v>31.758755744680851</v>
      </c>
      <c r="O2" s="73"/>
      <c r="P2" s="73"/>
      <c r="Q2" s="73"/>
      <c r="R2" s="73"/>
      <c r="S2" s="73"/>
      <c r="T2" s="73"/>
      <c r="U2" s="73"/>
      <c r="V2" s="78"/>
      <c r="W2" s="77">
        <f>W3*100/1970</f>
        <v>0</v>
      </c>
      <c r="X2" s="73"/>
      <c r="Y2" s="10"/>
      <c r="Z2" s="9"/>
      <c r="AA2" s="73">
        <f>AA3*100/B7</f>
        <v>0</v>
      </c>
      <c r="AB2" s="73"/>
      <c r="AC2" s="73"/>
      <c r="AD2" s="73"/>
      <c r="AE2" s="73"/>
      <c r="AF2" s="73"/>
      <c r="AG2" s="73"/>
      <c r="AH2" s="73"/>
      <c r="AI2" s="10">
        <f>AI3*100/B7</f>
        <v>0</v>
      </c>
    </row>
    <row r="3" spans="1:37" ht="13.5" thickBot="1">
      <c r="A3" s="2" t="s">
        <v>5</v>
      </c>
      <c r="B3" s="74">
        <f>C7+D7+E7+F7+G7+H7+I7+J7</f>
        <v>473.38340000000005</v>
      </c>
      <c r="C3" s="75"/>
      <c r="D3" s="75"/>
      <c r="E3" s="75"/>
      <c r="F3" s="75"/>
      <c r="G3" s="75"/>
      <c r="H3" s="75"/>
      <c r="I3" s="75"/>
      <c r="J3" s="76"/>
      <c r="K3" s="74">
        <f>K7+L7</f>
        <v>0</v>
      </c>
      <c r="L3" s="76"/>
      <c r="M3" s="11"/>
      <c r="N3" s="74">
        <f>N7+O7+P7+Q7+R7+S7+T7+U7+V7</f>
        <v>746.33075999999994</v>
      </c>
      <c r="O3" s="75"/>
      <c r="P3" s="75"/>
      <c r="Q3" s="75"/>
      <c r="R3" s="75"/>
      <c r="S3" s="75"/>
      <c r="T3" s="75"/>
      <c r="U3" s="75"/>
      <c r="V3" s="76"/>
      <c r="W3" s="74">
        <f>W7+X7</f>
        <v>0</v>
      </c>
      <c r="X3" s="75"/>
      <c r="Y3" s="11"/>
      <c r="Z3" s="12"/>
      <c r="AA3" s="73">
        <f>Z7+AA7+AC7+AD7+AE7+AF7+AI3</f>
        <v>0</v>
      </c>
      <c r="AB3" s="75"/>
      <c r="AC3" s="75"/>
      <c r="AD3" s="75"/>
      <c r="AE3" s="75"/>
      <c r="AF3" s="75"/>
      <c r="AG3" s="75"/>
      <c r="AH3" s="75"/>
      <c r="AI3" s="11">
        <f>AI7</f>
        <v>0</v>
      </c>
    </row>
    <row r="4" spans="1:37" ht="15.75" customHeight="1" thickBot="1">
      <c r="A4" s="2"/>
      <c r="B4" s="3"/>
      <c r="C4" s="79" t="s">
        <v>1</v>
      </c>
      <c r="D4" s="80"/>
      <c r="E4" s="80"/>
      <c r="F4" s="80"/>
      <c r="G4" s="80"/>
      <c r="H4" s="80"/>
      <c r="I4" s="80"/>
      <c r="J4" s="81"/>
      <c r="K4" s="79" t="s">
        <v>6</v>
      </c>
      <c r="L4" s="81"/>
      <c r="M4" s="3"/>
      <c r="N4" s="79" t="s">
        <v>7</v>
      </c>
      <c r="O4" s="80"/>
      <c r="P4" s="80"/>
      <c r="Q4" s="80"/>
      <c r="R4" s="80"/>
      <c r="S4" s="80"/>
      <c r="T4" s="80"/>
      <c r="U4" s="80"/>
      <c r="V4" s="81"/>
      <c r="W4" s="79" t="s">
        <v>8</v>
      </c>
      <c r="X4" s="80"/>
      <c r="Y4" s="3"/>
      <c r="Z4" s="79" t="s">
        <v>9</v>
      </c>
      <c r="AA4" s="80"/>
      <c r="AB4" s="80"/>
      <c r="AC4" s="80"/>
      <c r="AD4" s="80"/>
      <c r="AE4" s="80"/>
      <c r="AF4" s="80"/>
      <c r="AG4" s="80"/>
      <c r="AH4" s="80"/>
      <c r="AI4" s="3" t="s">
        <v>10</v>
      </c>
    </row>
    <row r="5" spans="1:37" ht="120" customHeight="1" thickBot="1">
      <c r="A5" s="2" t="s">
        <v>79</v>
      </c>
      <c r="B5" s="5" t="s">
        <v>11</v>
      </c>
      <c r="C5" s="72" t="s">
        <v>139</v>
      </c>
      <c r="D5" s="72" t="s">
        <v>143</v>
      </c>
      <c r="E5" s="40" t="s">
        <v>2</v>
      </c>
      <c r="F5" s="72" t="s">
        <v>108</v>
      </c>
      <c r="G5" s="5" t="s">
        <v>136</v>
      </c>
      <c r="H5" s="5"/>
      <c r="I5" s="5"/>
      <c r="J5" s="27"/>
      <c r="K5" s="5"/>
      <c r="L5" s="5"/>
      <c r="M5" s="27"/>
      <c r="N5" s="72" t="s">
        <v>110</v>
      </c>
      <c r="O5" s="72" t="s">
        <v>109</v>
      </c>
      <c r="P5" s="72" t="s">
        <v>146</v>
      </c>
      <c r="Q5" s="72" t="s">
        <v>133</v>
      </c>
      <c r="R5" s="5" t="s">
        <v>13</v>
      </c>
      <c r="S5" s="5" t="s">
        <v>2</v>
      </c>
      <c r="T5" s="5" t="s">
        <v>102</v>
      </c>
      <c r="U5" s="5"/>
      <c r="V5" s="27"/>
      <c r="W5" s="5"/>
      <c r="X5" s="5"/>
      <c r="Y5" s="35"/>
      <c r="Z5" s="5"/>
      <c r="AA5" s="5"/>
      <c r="AB5" s="5"/>
      <c r="AC5" s="5"/>
      <c r="AD5" s="5"/>
      <c r="AE5" s="5"/>
      <c r="AF5" s="5"/>
      <c r="AG5" s="5"/>
      <c r="AH5" s="35"/>
      <c r="AI5" s="5"/>
      <c r="AK5" s="44"/>
    </row>
    <row r="6" spans="1:37" ht="13.5" thickBot="1">
      <c r="A6" s="2" t="s">
        <v>15</v>
      </c>
      <c r="B6" s="24"/>
      <c r="C6" s="4">
        <v>150</v>
      </c>
      <c r="D6" s="4">
        <v>175</v>
      </c>
      <c r="E6" s="4">
        <v>20</v>
      </c>
      <c r="F6" s="4">
        <v>200</v>
      </c>
      <c r="G6" s="4">
        <v>170</v>
      </c>
      <c r="H6" s="4"/>
      <c r="I6" s="4"/>
      <c r="J6" s="28"/>
      <c r="K6" s="4"/>
      <c r="L6" s="4"/>
      <c r="M6" s="28"/>
      <c r="N6" s="4">
        <v>60</v>
      </c>
      <c r="O6" s="4">
        <v>200</v>
      </c>
      <c r="P6" s="4">
        <v>100</v>
      </c>
      <c r="Q6" s="4">
        <v>150</v>
      </c>
      <c r="R6" s="4">
        <v>200</v>
      </c>
      <c r="S6" s="4">
        <v>50</v>
      </c>
      <c r="T6" s="4">
        <v>40</v>
      </c>
      <c r="U6" s="4"/>
      <c r="V6" s="28"/>
      <c r="W6" s="4"/>
      <c r="X6" s="4"/>
      <c r="Y6" s="24"/>
      <c r="Z6" s="4"/>
      <c r="AA6" s="4"/>
      <c r="AB6" s="4"/>
      <c r="AC6" s="4"/>
      <c r="AD6" s="4"/>
      <c r="AE6" s="4"/>
      <c r="AF6" s="4"/>
      <c r="AG6" s="4"/>
      <c r="AH6" s="24"/>
      <c r="AI6" s="4"/>
      <c r="AK6" s="45"/>
    </row>
    <row r="7" spans="1:37" ht="13.5" thickBot="1">
      <c r="A7" s="2" t="s">
        <v>0</v>
      </c>
      <c r="B7" s="8">
        <f t="shared" ref="B7:B51" si="0">C7+D7+E7+F7+G7+H7+I7+J7+K7+L7+M7+N7+O7+P7+Q7+R7+S7+T7+U7+V7+W7+X7+Y7+Z7+AA7+AB7+AC7+AD7+AE7+AF7+AG7+AI7</f>
        <v>1219.7141600000002</v>
      </c>
      <c r="C7" s="8">
        <f t="shared" ref="C7:I7" si="1">C8*1.1928+C9*1.1928+C10*1.3875+C11*1.1928+C12*3.01+C13*3.01+C14*0.783+C15*7.09+C16*8.99+C17*0.52+C18*1.18+C19*1.56+C20*3.6+C21*1.3659+C22*3.34+C23*3.68+C24*3.314+C25*3.314+C26*3.314+C27*3.314+C28*3.314+C29*3.314+C30*3.314+C31*3.314+C32*3.74+C34*3.558+C35*0.466+C36*0.396+C37*0.56+C38*0.2744+C39*0.2744+C40*0.2744+C41*0.2744+C42*0.2744+C43*0.2744+C44*2.26+C45*1.81+C46*3.78+C49*0.31+C50*3.69</f>
        <v>180.64340000000001</v>
      </c>
      <c r="D7" s="8">
        <f>D8*1.1928+D9*1.1928+D10*1.3875+D11*1.1928+D12*3.01+D13*3.01+D14*0.783+D15*7.09+D16*8.99+D17*0.52+D18*1.18+D19*1.56+D20*3.6+D21*1.3659+D22*3.34+D23*3.68+D24*3.314+D25*3.314+D26*3.314+D27*3.314+D28*3.314+D29*3.314+D30*3.314+D31*3.314+D32*3.74+D34*3.558+D35*0.466+D36*0.396+D37*0.56+D38*0.2744+D39*0.2744+D40*0.2744+D41*0.2744+D42*0.2744+D43*0.2744+D44*2.26+D45*1.81+D46*3.78+D49*0.31+D50*3.69+D51*0.52</f>
        <v>94.12</v>
      </c>
      <c r="E7" s="8">
        <f>E8*1.1928+E9*1.1928+E10*1.3875+E11*1.1928+E12*3.01+E13*3.01+E14*0.783+E15*7.09+E16*8.99+E17*0.52+E18*1.18+E19*1.56+E20*3.6+E21*1.3659+E22*3.34+E23*3.68+E24*3.314+E25*3.314+E26*3.314+E27*3.314+E28*3.314+E29*3.314+E30*3.314+E31*3.314+E32*3.74+E34*3.558+E35*0.466+E36*0.396+E37*0.56+E38*0.2744+E39*0.2744+E40*0.2744+E41*0.2744+E42*0.2744+E43*0.2744+E44*2.26+E45*1.81+E46*3.78+E49*0.31+E50*3.69</f>
        <v>45.199999999999996</v>
      </c>
      <c r="F7" s="8">
        <f>F8*1.1928+F9*1.1928+F10*1.3875+F11*1.1928+F12*3.01+F13*3.01+F14*0.783+F15*7.09+F16*8.99+F17*0.52+F18*1.18+F19*1.56+F20*3.6+F21*1.3659+F22*3.34+F23*3.68+F24*3.314+F25*3.314+F26*3.314+F27*3.314+F28*3.314+F29*3.314+F30*3.314+F31*3.314+F32*3.74+F34*3.558+F35*0.466+F36*0.396+F37*0.56+F38*0.2744+F39*0.2744+F40*0.2744+F41*0.2744+F42*0.2744+F43*0.2744+F44*2.26+F45*1.81+F46*3.78+F49*0.31+F50*3.69</f>
        <v>84.12</v>
      </c>
      <c r="G7" s="8">
        <f>G8*1.1928+G9*1.1928+G10*1.3875+G11*1.1928+G12*3.01+G13*3.01+G14*0.783+G15*7.09+G16*8.99+G17*0.52+G18*1.18+G19*1.56+G20*3.6+G21*1.3659+G22*3.34+G23*3.68+G24*3.314+G25*3.314+G26*3.314+G27*3.314+G28*3.314+G29*3.314+G30*3.314+G31*3.314+G32*3.74+G34*3.558+G35*0.466+G36*0.396+G37*0.56+G38*0.2744+G39*0.2744+G40*0.2744+G41*0.2744+G42*0.2744+G43*0.2744+G44*2.26+G45*1.81+G46*3.78+G49*0.31+G50*3.69</f>
        <v>69.3</v>
      </c>
      <c r="H7" s="8">
        <f t="shared" si="1"/>
        <v>0</v>
      </c>
      <c r="I7" s="8">
        <f t="shared" si="1"/>
        <v>0</v>
      </c>
      <c r="J7" s="29"/>
      <c r="K7" s="8">
        <f>K8*1.1928+K9*1.1928+K10*1.3875+K11*1.1928+K12*3.01+K13*3.01+K14*0.783+K15*7.09+K16*8.99+K17*0.52+K18*1.18+K19*1.56+K20*3.6+K21*1.3659+K22*3.34+K23*3.68+K24*3.314+K25*3.314+K26*3.314+K27*3.314+K28*3.314+K29*3.314+K30*3.314+K31*3.314+K32*3.74+K34*3.558+K35*0.466+K36*0.396+K37*0.56+K38*0.2744+K39*0.2744+K40*0.2744+K41*0.2744+K42*0.2744+K43*0.2744+K44*2.26+K45*1.81+K46*3.78+K49*0.31+K50*3.69</f>
        <v>0</v>
      </c>
      <c r="L7" s="8">
        <f>L8*1.1928+L9*1.1928+L10*1.3875+L11*1.1928+L12*3.01+L13*3.01+L14*0.783+L15*7.09+L16*8.99+L17*0.52+L18*1.18+L19*1.56+L20*3.6+L21*1.3659+L22*3.34+L23*3.68+L24*3.314+L25*3.314+L26*3.314+L27*3.314+L28*3.314+L29*3.314+L30*3.314+L31*3.314+L32*3.74+L34*3.558+L35*0.466+L36*0.396+L37*0.56+L38*0.2744+L39*0.2744+L40*0.2744+L41*0.2744+L42*0.2744+L43*0.2744+L44*2.26+L45*1.81+L46*3.78+L49*0.31+L50*3.69</f>
        <v>0</v>
      </c>
      <c r="M7" s="29"/>
      <c r="N7" s="8">
        <f t="shared" ref="N7:T7" si="2">N8*1.1928+N9*1.1928+N10*1.3875+N11*1.1928+N12*3.01+N13*3.01+N14*0.783+N15*7.09+N16*8.99+N17*0.52+N18*1.18+N19*1.56+N20*3.6+N21*1.3659+N22*3.34+N23*3.68+N24*3.314+N25*3.314+N26*3.314+N27*3.314+N28*3.314+N29*3.314+N30*3.314+N31*3.314+N32*3.74+N34*3.558+N35*0.466+N36*0.396+N37*0.56+N38*0.2744+N39*0.2744+N40*0.2744+N41*0.2744+N42*0.2744+N43*0.2744+N44*2.26+N45*1.81+N46*3.78+N49*0.31+N50*3.69</f>
        <v>78.501599999999996</v>
      </c>
      <c r="O7" s="8">
        <f t="shared" si="2"/>
        <v>103.75872</v>
      </c>
      <c r="P7" s="8">
        <f t="shared" si="2"/>
        <v>169.89880000000002</v>
      </c>
      <c r="Q7" s="8">
        <f t="shared" si="2"/>
        <v>146.77163999999999</v>
      </c>
      <c r="R7" s="8">
        <f>R8*1.1928+R9*1.1928+R10*1.3875+R11*1.1928+R12*3.01+R13*3.01+R14*0.783+R15*7.09+R16*8.99+R17*0.52+R18*1.18+R19*1.56+R20*3.6+R21*1.3659+R22*3.34+R23*3.68+R24*3.314+R25*3.314+R26*3.314+R27*3.314+R28*3.314+R29*3.314+R30*3.314+R31*3.314+R32*3.74+R34*3.558+R35*0.466+R36*0.396+R37*0.56+R38*0.2744+R39*0.2744+R40*0.2744+R41*0.2744+R42*0.2744+R43*0.2744+R44*2.26+R45*1.81+R46*3.78+R49*0.31+R50*3.69</f>
        <v>62</v>
      </c>
      <c r="S7" s="8">
        <f t="shared" si="2"/>
        <v>112.99999999999999</v>
      </c>
      <c r="T7" s="8">
        <f t="shared" si="2"/>
        <v>72.400000000000006</v>
      </c>
      <c r="U7" s="8"/>
      <c r="V7" s="29"/>
      <c r="W7" s="8"/>
      <c r="X7" s="8"/>
      <c r="Y7" s="8"/>
      <c r="Z7" s="8">
        <f t="shared" ref="Z7:AG7" si="3">Z8*1.1928+Z9*1.1928+Z10*1.3875+Z11*1.1928+Z12*3.01+Z13*3.01+Z14*0.783+Z15*7.09+Z16*8.99+Z17*0.52+Z18*1.18+Z19*1.56+Z20*3.6+Z21*1.3659+Z22*3.34+Z23*3.68+Z24*3.314+Z25*3.314+Z26*3.314+Z27*3.314+Z28*3.314+Z29*3.314+Z30*3.314+Z31*3.314+Z32*3.74+Z34*3.558+Z35*0.466+Z36*0.396+Z37*0.56+Z38*0.2744+Z39*0.2744+Z40*0.2744+Z41*0.2744+Z42*0.2744+Z43*0.2744+Z44*2.26+Z45*1.81+Z46*3.78+Z49*0.31+Z50*3.69</f>
        <v>0</v>
      </c>
      <c r="AA7" s="8">
        <f t="shared" si="3"/>
        <v>0</v>
      </c>
      <c r="AB7" s="8">
        <f t="shared" si="3"/>
        <v>0</v>
      </c>
      <c r="AC7" s="8">
        <f t="shared" si="3"/>
        <v>0</v>
      </c>
      <c r="AD7" s="8">
        <f t="shared" si="3"/>
        <v>0</v>
      </c>
      <c r="AE7" s="8">
        <f t="shared" si="3"/>
        <v>0</v>
      </c>
      <c r="AF7" s="8">
        <f t="shared" si="3"/>
        <v>0</v>
      </c>
      <c r="AG7" s="8">
        <f t="shared" si="3"/>
        <v>0</v>
      </c>
      <c r="AH7" s="36"/>
      <c r="AI7" s="8">
        <f>AI8*1.1928+AI9*1.1928+AI10*1.3875+AI11*1.1928+AI12*3.01+AI13*3.01+AI14*0.783+AI15*7.09+AI16*8.99+AI17*0.52+AI18*1.18+AI19*1.56+AI20*3.6+AI21*1.3659+AI22*3.34+AI23*3.68+AI24*3.314+AI25*3.314+AI26*3.314+AI27*3.314+AI28*3.314+AI29*3.314+AI30*3.314+AI31*3.314+AI32*3.74+AI34*3.558+AI35*0.466+AI36*0.396+AI37*0.56+AI38*0.2744+AI39*0.2744+AI40*0.2744+AI41*0.2744+AI42*0.2744+AI43*0.2744+AI44*2.26+AI45*1.81+AI46*3.78+AI49*0.31+AI50*3.69</f>
        <v>0</v>
      </c>
      <c r="AK7" s="46"/>
    </row>
    <row r="8" spans="1:37" ht="13.5" thickBot="1">
      <c r="A8" s="2" t="s">
        <v>16</v>
      </c>
      <c r="B8" s="64">
        <f t="shared" si="0"/>
        <v>107.5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>
        <v>107.5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K8" s="43"/>
    </row>
    <row r="9" spans="1:37" ht="13.5" thickBot="1">
      <c r="A9" s="2" t="s">
        <v>17</v>
      </c>
      <c r="B9" s="64">
        <f t="shared" si="0"/>
        <v>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K9" s="43"/>
    </row>
    <row r="10" spans="1:37" ht="13.5" thickBot="1">
      <c r="A10" s="2" t="s">
        <v>18</v>
      </c>
      <c r="B10" s="64">
        <f t="shared" si="0"/>
        <v>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K10" s="43"/>
    </row>
    <row r="11" spans="1:37" ht="13.5" thickBot="1">
      <c r="A11" s="2" t="s">
        <v>19</v>
      </c>
      <c r="B11" s="64">
        <f t="shared" si="0"/>
        <v>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K11" s="43"/>
    </row>
    <row r="12" spans="1:37" ht="13.5" thickBot="1">
      <c r="A12" s="2" t="s">
        <v>20</v>
      </c>
      <c r="B12" s="64">
        <f t="shared" si="0"/>
        <v>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K12" s="43"/>
    </row>
    <row r="13" spans="1:37" ht="13.5" thickBot="1">
      <c r="A13" s="2" t="s">
        <v>21</v>
      </c>
      <c r="B13" s="64">
        <f t="shared" si="0"/>
        <v>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K13" s="43"/>
    </row>
    <row r="14" spans="1:37" ht="13.5" thickBot="1">
      <c r="A14" s="2" t="s">
        <v>22</v>
      </c>
      <c r="B14" s="64">
        <f t="shared" si="0"/>
        <v>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K14" s="43"/>
    </row>
    <row r="15" spans="1:37" ht="13.5" thickBot="1">
      <c r="A15" s="2" t="s">
        <v>23</v>
      </c>
      <c r="B15" s="64">
        <f t="shared" si="0"/>
        <v>24.5</v>
      </c>
      <c r="C15" s="65">
        <v>5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>
        <v>4</v>
      </c>
      <c r="P15" s="65">
        <v>4</v>
      </c>
      <c r="Q15" s="65">
        <v>11.5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K15" s="43"/>
    </row>
    <row r="16" spans="1:37" ht="13.5" thickBot="1">
      <c r="A16" s="2" t="s">
        <v>24</v>
      </c>
      <c r="B16" s="64">
        <f t="shared" si="0"/>
        <v>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>
        <v>6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K16" s="43"/>
    </row>
    <row r="17" spans="1:37" ht="13.5" thickBot="1">
      <c r="A17" s="2" t="s">
        <v>54</v>
      </c>
      <c r="B17" s="64">
        <f t="shared" si="0"/>
        <v>132</v>
      </c>
      <c r="C17" s="65">
        <v>132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K17" s="43"/>
    </row>
    <row r="18" spans="1:37" ht="13.5" thickBot="1">
      <c r="A18" s="2" t="s">
        <v>25</v>
      </c>
      <c r="B18" s="64">
        <f t="shared" si="0"/>
        <v>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>
        <v>8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K18" s="43"/>
    </row>
    <row r="19" spans="1:37" ht="13.5" thickBot="1">
      <c r="A19" s="2" t="s">
        <v>26</v>
      </c>
      <c r="B19" s="64">
        <f t="shared" si="0"/>
        <v>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K19" s="43"/>
    </row>
    <row r="20" spans="1:37" ht="13.5" thickBot="1">
      <c r="A20" s="2" t="s">
        <v>27</v>
      </c>
      <c r="B20" s="64">
        <f t="shared" si="0"/>
        <v>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K20" s="43"/>
    </row>
    <row r="21" spans="1:37" ht="13.5" thickBot="1">
      <c r="A21" s="2" t="s">
        <v>14</v>
      </c>
      <c r="B21" s="64">
        <f t="shared" si="0"/>
        <v>0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K21" s="43"/>
    </row>
    <row r="22" spans="1:37" ht="13.5" thickBot="1">
      <c r="A22" s="2" t="s">
        <v>28</v>
      </c>
      <c r="B22" s="64">
        <f t="shared" si="0"/>
        <v>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>
        <v>3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K22" s="43"/>
    </row>
    <row r="23" spans="1:37" ht="13.5" thickBot="1">
      <c r="A23" s="2" t="s">
        <v>29</v>
      </c>
      <c r="B23" s="64">
        <f t="shared" si="0"/>
        <v>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K23" s="43"/>
    </row>
    <row r="24" spans="1:37" ht="13.5" thickBot="1">
      <c r="A24" s="2" t="s">
        <v>30</v>
      </c>
      <c r="B24" s="64">
        <f t="shared" si="0"/>
        <v>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K24" s="43"/>
    </row>
    <row r="25" spans="1:37" ht="13.5" thickBot="1">
      <c r="A25" s="2" t="s">
        <v>31</v>
      </c>
      <c r="B25" s="64">
        <f t="shared" si="0"/>
        <v>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K25" s="43"/>
    </row>
    <row r="26" spans="1:37" ht="13.5" thickBot="1">
      <c r="A26" s="2" t="s">
        <v>32</v>
      </c>
      <c r="B26" s="64">
        <f t="shared" si="0"/>
        <v>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K26" s="43"/>
    </row>
    <row r="27" spans="1:37" ht="13.5" thickBot="1">
      <c r="A27" s="2" t="s">
        <v>33</v>
      </c>
      <c r="B27" s="64">
        <f t="shared" si="0"/>
        <v>23.1</v>
      </c>
      <c r="C27" s="65">
        <v>23.1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K27" s="43"/>
    </row>
    <row r="28" spans="1:37" ht="13.5" thickBot="1">
      <c r="A28" s="2" t="s">
        <v>34</v>
      </c>
      <c r="B28" s="64">
        <f t="shared" si="0"/>
        <v>4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4</v>
      </c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K28" s="43"/>
    </row>
    <row r="29" spans="1:37" ht="13.5" thickBot="1">
      <c r="A29" s="2" t="s">
        <v>35</v>
      </c>
      <c r="B29" s="64">
        <f t="shared" si="0"/>
        <v>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K29" s="43"/>
    </row>
    <row r="30" spans="1:37" ht="13.5" thickBot="1">
      <c r="A30" s="2" t="s">
        <v>36</v>
      </c>
      <c r="B30" s="64">
        <f t="shared" si="0"/>
        <v>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K30" s="43"/>
    </row>
    <row r="31" spans="1:37" ht="13.5" thickBot="1">
      <c r="A31" s="2" t="s">
        <v>37</v>
      </c>
      <c r="B31" s="64">
        <f t="shared" si="0"/>
        <v>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K31" s="43"/>
    </row>
    <row r="32" spans="1:37" ht="13.5" thickBot="1">
      <c r="A32" s="2" t="s">
        <v>38</v>
      </c>
      <c r="B32" s="64">
        <f t="shared" si="0"/>
        <v>20</v>
      </c>
      <c r="C32" s="65"/>
      <c r="D32" s="65"/>
      <c r="E32" s="65"/>
      <c r="F32" s="65">
        <v>20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K32" s="43"/>
    </row>
    <row r="33" spans="1:37" ht="13.5" thickBot="1">
      <c r="A33" s="2" t="s">
        <v>39</v>
      </c>
      <c r="B33" s="64">
        <f t="shared" si="0"/>
        <v>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K33" s="43"/>
    </row>
    <row r="34" spans="1:37" ht="13.5" thickBot="1">
      <c r="A34" s="2" t="s">
        <v>40</v>
      </c>
      <c r="B34" s="64">
        <f t="shared" si="0"/>
        <v>0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K34" s="43"/>
    </row>
    <row r="35" spans="1:37" ht="13.5" thickBot="1">
      <c r="A35" s="2" t="s">
        <v>41</v>
      </c>
      <c r="B35" s="64">
        <f t="shared" si="0"/>
        <v>20</v>
      </c>
      <c r="C35" s="65"/>
      <c r="D35" s="65"/>
      <c r="E35" s="65"/>
      <c r="F35" s="65">
        <v>20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K35" s="43"/>
    </row>
    <row r="36" spans="1:37" ht="13.5" thickBot="1">
      <c r="A36" s="2" t="s">
        <v>42</v>
      </c>
      <c r="B36" s="64">
        <f t="shared" si="0"/>
        <v>175</v>
      </c>
      <c r="C36" s="65"/>
      <c r="D36" s="65"/>
      <c r="E36" s="65"/>
      <c r="F36" s="65"/>
      <c r="G36" s="65">
        <v>175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K36" s="43"/>
    </row>
    <row r="37" spans="1:37" ht="13.5" thickBot="1">
      <c r="A37" s="2" t="s">
        <v>43</v>
      </c>
      <c r="B37" s="64">
        <f t="shared" si="0"/>
        <v>159.69999999999999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>
        <v>17.399999999999999</v>
      </c>
      <c r="O37" s="65">
        <v>80</v>
      </c>
      <c r="P37" s="65"/>
      <c r="Q37" s="65">
        <v>62.3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K37" s="43"/>
    </row>
    <row r="38" spans="1:37" ht="13.5" thickBot="1">
      <c r="A38" s="2" t="s">
        <v>44</v>
      </c>
      <c r="B38" s="64">
        <f t="shared" si="0"/>
        <v>49.5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>
        <v>12.6</v>
      </c>
      <c r="O38" s="65"/>
      <c r="P38" s="65"/>
      <c r="Q38" s="65">
        <v>36.9</v>
      </c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K38" s="43"/>
    </row>
    <row r="39" spans="1:37" ht="13.5" thickBot="1">
      <c r="A39" s="2" t="s">
        <v>45</v>
      </c>
      <c r="B39" s="64">
        <f t="shared" si="0"/>
        <v>47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>
        <v>7.8</v>
      </c>
      <c r="O39" s="65">
        <v>10.4</v>
      </c>
      <c r="P39" s="65"/>
      <c r="Q39" s="65">
        <v>28.8</v>
      </c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K39" s="43"/>
    </row>
    <row r="40" spans="1:37" ht="13.5" thickBot="1">
      <c r="A40" s="2" t="s">
        <v>46</v>
      </c>
      <c r="B40" s="64">
        <f t="shared" si="0"/>
        <v>41.400000000000006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>
        <v>10.8</v>
      </c>
      <c r="O40" s="65">
        <v>4.8</v>
      </c>
      <c r="P40" s="65">
        <v>12</v>
      </c>
      <c r="Q40" s="65">
        <v>13.8</v>
      </c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K40" s="43"/>
    </row>
    <row r="41" spans="1:37" ht="13.5" thickBot="1">
      <c r="A41" s="2" t="s">
        <v>47</v>
      </c>
      <c r="B41" s="64">
        <f t="shared" si="0"/>
        <v>25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>
        <v>11.4</v>
      </c>
      <c r="O41" s="65">
        <v>13.6</v>
      </c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K41" s="43"/>
    </row>
    <row r="42" spans="1:37" ht="13.5" thickBot="1">
      <c r="A42" s="2" t="s">
        <v>48</v>
      </c>
      <c r="B42" s="64">
        <f t="shared" si="0"/>
        <v>0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K42" s="43"/>
    </row>
    <row r="43" spans="1:37" ht="13.5" thickBot="1">
      <c r="A43" s="2" t="s">
        <v>49</v>
      </c>
      <c r="B43" s="64">
        <f t="shared" si="0"/>
        <v>42.5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>
        <v>11.4</v>
      </c>
      <c r="O43" s="65"/>
      <c r="P43" s="65"/>
      <c r="Q43" s="65">
        <v>31.1</v>
      </c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K43" s="43"/>
    </row>
    <row r="44" spans="1:37" ht="13.5" thickBot="1">
      <c r="A44" s="2" t="s">
        <v>2</v>
      </c>
      <c r="B44" s="64">
        <f t="shared" si="0"/>
        <v>70</v>
      </c>
      <c r="C44" s="65"/>
      <c r="D44" s="65"/>
      <c r="E44" s="65">
        <v>20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>
        <v>50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K44" s="43"/>
    </row>
    <row r="45" spans="1:37" ht="13.5" thickBot="1">
      <c r="A45" s="2" t="s">
        <v>3</v>
      </c>
      <c r="B45" s="64">
        <f t="shared" si="0"/>
        <v>40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>
        <v>40</v>
      </c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K45" s="43"/>
    </row>
    <row r="46" spans="1:37" ht="13.5" thickBot="1">
      <c r="A46" s="2" t="s">
        <v>50</v>
      </c>
      <c r="B46" s="64">
        <f t="shared" si="0"/>
        <v>0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K46" s="43"/>
    </row>
    <row r="47" spans="1:37" ht="13.5" thickBot="1">
      <c r="A47" s="2" t="s">
        <v>51</v>
      </c>
      <c r="B47" s="64">
        <f t="shared" si="0"/>
        <v>0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K47" s="43"/>
    </row>
    <row r="48" spans="1:37" ht="13.5" thickBot="1">
      <c r="A48" s="2" t="s">
        <v>52</v>
      </c>
      <c r="B48" s="64">
        <f t="shared" si="0"/>
        <v>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>
        <v>8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K48" s="43"/>
    </row>
    <row r="49" spans="1:37" ht="13.5" thickBot="1">
      <c r="A49" s="2" t="s">
        <v>13</v>
      </c>
      <c r="B49" s="64">
        <f t="shared" si="0"/>
        <v>200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>
        <v>200</v>
      </c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K49" s="43"/>
    </row>
    <row r="50" spans="1:37" ht="13.5" thickBot="1">
      <c r="A50" s="2" t="s">
        <v>53</v>
      </c>
      <c r="B50" s="64">
        <f t="shared" si="0"/>
        <v>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K50" s="43"/>
    </row>
    <row r="51" spans="1:37" ht="26.25" thickBot="1">
      <c r="A51" s="2" t="s">
        <v>115</v>
      </c>
      <c r="B51" s="64">
        <f t="shared" si="0"/>
        <v>181</v>
      </c>
      <c r="C51" s="2"/>
      <c r="D51" s="2">
        <v>181</v>
      </c>
      <c r="E51" s="2"/>
      <c r="F51" s="2"/>
      <c r="G51" s="2"/>
      <c r="H51" s="2"/>
      <c r="I51" s="2"/>
      <c r="J51" s="65"/>
      <c r="K51" s="2"/>
      <c r="L51" s="6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5"/>
      <c r="AI51" s="2"/>
    </row>
  </sheetData>
  <mergeCells count="20">
    <mergeCell ref="Z4:AH4"/>
    <mergeCell ref="C4:J4"/>
    <mergeCell ref="K4:L4"/>
    <mergeCell ref="N4:V4"/>
    <mergeCell ref="W4:X4"/>
    <mergeCell ref="AC1:AI1"/>
    <mergeCell ref="B1:J1"/>
    <mergeCell ref="K1:L1"/>
    <mergeCell ref="N1:V1"/>
    <mergeCell ref="W1:X1"/>
    <mergeCell ref="AA2:AH2"/>
    <mergeCell ref="B3:J3"/>
    <mergeCell ref="K3:L3"/>
    <mergeCell ref="N3:V3"/>
    <mergeCell ref="W3:X3"/>
    <mergeCell ref="AA3:AH3"/>
    <mergeCell ref="B2:J2"/>
    <mergeCell ref="K2:L2"/>
    <mergeCell ref="N2:V2"/>
    <mergeCell ref="W2:X2"/>
  </mergeCells>
  <phoneticPr fontId="4" type="noConversion"/>
  <pageMargins left="0.22" right="0.16" top="0.2" bottom="0.22" header="0.16" footer="0.15"/>
  <pageSetup paperSize="9" scale="7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1"/>
  <sheetViews>
    <sheetView zoomScale="75" workbookViewId="0">
      <selection activeCell="E5" sqref="E5"/>
    </sheetView>
  </sheetViews>
  <sheetFormatPr defaultRowHeight="12.75"/>
  <cols>
    <col min="1" max="1" width="21.140625" customWidth="1"/>
    <col min="2" max="2" width="6.42578125" customWidth="1"/>
    <col min="3" max="3" width="5.5703125" customWidth="1"/>
    <col min="4" max="4" width="6.28515625" customWidth="1"/>
    <col min="5" max="5" width="7.140625" customWidth="1"/>
    <col min="6" max="6" width="5.42578125" customWidth="1"/>
    <col min="7" max="7" width="6" customWidth="1"/>
    <col min="8" max="8" width="5" customWidth="1"/>
    <col min="9" max="9" width="4.42578125" customWidth="1"/>
    <col min="10" max="10" width="2.28515625" customWidth="1"/>
    <col min="11" max="11" width="6.42578125" customWidth="1"/>
    <col min="12" max="12" width="5.85546875" customWidth="1"/>
    <col min="13" max="13" width="1.5703125" customWidth="1"/>
    <col min="14" max="14" width="5.5703125" customWidth="1"/>
    <col min="15" max="15" width="6" customWidth="1"/>
    <col min="16" max="16" width="6.5703125" customWidth="1"/>
    <col min="17" max="17" width="5.85546875" customWidth="1"/>
    <col min="18" max="18" width="5.28515625" customWidth="1"/>
    <col min="19" max="20" width="5.7109375" customWidth="1"/>
    <col min="21" max="21" width="2.7109375" customWidth="1"/>
    <col min="22" max="22" width="1.42578125" customWidth="1"/>
    <col min="23" max="23" width="6.28515625" customWidth="1"/>
    <col min="24" max="25" width="5.7109375" customWidth="1"/>
    <col min="26" max="26" width="5.5703125" customWidth="1"/>
    <col min="27" max="27" width="5.42578125" customWidth="1"/>
    <col min="28" max="28" width="0.5703125" customWidth="1"/>
    <col min="29" max="29" width="6" customWidth="1"/>
    <col min="30" max="31" width="6.140625" customWidth="1"/>
    <col min="32" max="32" width="4.42578125" customWidth="1"/>
    <col min="33" max="33" width="1.42578125" customWidth="1"/>
    <col min="34" max="34" width="6" customWidth="1"/>
  </cols>
  <sheetData>
    <row r="1" spans="1:36" ht="13.5" thickBot="1">
      <c r="A1" s="1" t="s">
        <v>75</v>
      </c>
      <c r="B1" s="83" t="s">
        <v>89</v>
      </c>
      <c r="C1" s="82"/>
      <c r="D1" s="82"/>
      <c r="E1" s="82"/>
      <c r="F1" s="82"/>
      <c r="G1" s="82"/>
      <c r="H1" s="82"/>
      <c r="I1" s="82"/>
      <c r="J1" s="84"/>
      <c r="K1" s="83"/>
      <c r="L1" s="84"/>
      <c r="M1" s="39"/>
      <c r="N1" s="83" t="s">
        <v>90</v>
      </c>
      <c r="O1" s="82"/>
      <c r="P1" s="82"/>
      <c r="Q1" s="82"/>
      <c r="R1" s="82"/>
      <c r="S1" s="82"/>
      <c r="T1" s="82"/>
      <c r="U1" s="82"/>
      <c r="V1" s="84"/>
      <c r="W1" s="83"/>
      <c r="X1" s="82"/>
      <c r="Y1" s="38"/>
      <c r="Z1" s="39"/>
      <c r="AA1" s="38"/>
      <c r="AB1" s="82"/>
      <c r="AC1" s="82"/>
      <c r="AD1" s="82"/>
      <c r="AE1" s="82"/>
      <c r="AF1" s="82"/>
      <c r="AG1" s="82"/>
      <c r="AH1" s="82"/>
      <c r="AI1" s="41"/>
    </row>
    <row r="2" spans="1:36" ht="26.25" thickBot="1">
      <c r="A2" s="1" t="s">
        <v>4</v>
      </c>
      <c r="B2" s="77">
        <f>B3*100/2350</f>
        <v>14.613021276595743</v>
      </c>
      <c r="C2" s="73"/>
      <c r="D2" s="73"/>
      <c r="E2" s="73"/>
      <c r="F2" s="73"/>
      <c r="G2" s="73"/>
      <c r="H2" s="73"/>
      <c r="I2" s="73"/>
      <c r="J2" s="78"/>
      <c r="K2" s="77">
        <f>K3*100/B7</f>
        <v>0</v>
      </c>
      <c r="L2" s="78"/>
      <c r="M2" s="10"/>
      <c r="N2" s="77">
        <f>N3*100/2350</f>
        <v>41.136660425531915</v>
      </c>
      <c r="O2" s="73"/>
      <c r="P2" s="73"/>
      <c r="Q2" s="73"/>
      <c r="R2" s="73"/>
      <c r="S2" s="73"/>
      <c r="T2" s="73"/>
      <c r="U2" s="73"/>
      <c r="V2" s="78"/>
      <c r="W2" s="77">
        <f>W3*100/1970</f>
        <v>0</v>
      </c>
      <c r="X2" s="73"/>
      <c r="Y2" s="32"/>
      <c r="Z2" s="10"/>
      <c r="AA2" s="73"/>
      <c r="AB2" s="73"/>
      <c r="AC2" s="73"/>
      <c r="AD2" s="73"/>
      <c r="AE2" s="73"/>
      <c r="AF2" s="73"/>
      <c r="AG2" s="73"/>
      <c r="AH2" s="10">
        <f>AH3*100/B7</f>
        <v>0</v>
      </c>
    </row>
    <row r="3" spans="1:36" ht="13.5" thickBot="1">
      <c r="A3" s="2" t="s">
        <v>5</v>
      </c>
      <c r="B3" s="74">
        <f>C7+D7+E7+F7+G7+H7+I7+J7</f>
        <v>343.40600000000001</v>
      </c>
      <c r="C3" s="75"/>
      <c r="D3" s="75"/>
      <c r="E3" s="75"/>
      <c r="F3" s="75"/>
      <c r="G3" s="75"/>
      <c r="H3" s="75"/>
      <c r="I3" s="75"/>
      <c r="J3" s="76"/>
      <c r="K3" s="74">
        <f>K7+L7</f>
        <v>0</v>
      </c>
      <c r="L3" s="76"/>
      <c r="M3" s="11"/>
      <c r="N3" s="74">
        <f>N7+O7+P7+Q7+R7+S7+T7+U7+V7</f>
        <v>966.71152000000006</v>
      </c>
      <c r="O3" s="75"/>
      <c r="P3" s="75"/>
      <c r="Q3" s="75"/>
      <c r="R3" s="75"/>
      <c r="S3" s="75"/>
      <c r="T3" s="75"/>
      <c r="U3" s="75"/>
      <c r="V3" s="76"/>
      <c r="W3" s="77">
        <f>W7+X7+Y7+Z7</f>
        <v>0</v>
      </c>
      <c r="X3" s="75"/>
      <c r="Y3" s="33"/>
      <c r="Z3" s="11"/>
      <c r="AA3" s="75"/>
      <c r="AB3" s="75"/>
      <c r="AC3" s="75"/>
      <c r="AD3" s="75"/>
      <c r="AE3" s="75"/>
      <c r="AF3" s="75"/>
      <c r="AG3" s="75"/>
      <c r="AH3" s="11">
        <f>AH7</f>
        <v>0</v>
      </c>
    </row>
    <row r="4" spans="1:36" ht="15.75" customHeight="1" thickBot="1">
      <c r="A4" s="2"/>
      <c r="B4" s="3"/>
      <c r="C4" s="79" t="s">
        <v>1</v>
      </c>
      <c r="D4" s="80"/>
      <c r="E4" s="80"/>
      <c r="F4" s="80"/>
      <c r="G4" s="80"/>
      <c r="H4" s="80"/>
      <c r="I4" s="80"/>
      <c r="J4" s="81"/>
      <c r="K4" s="79" t="s">
        <v>6</v>
      </c>
      <c r="L4" s="81"/>
      <c r="M4" s="3"/>
      <c r="N4" s="79" t="s">
        <v>7</v>
      </c>
      <c r="O4" s="80"/>
      <c r="P4" s="80"/>
      <c r="Q4" s="80"/>
      <c r="R4" s="80"/>
      <c r="S4" s="80"/>
      <c r="T4" s="80"/>
      <c r="U4" s="80"/>
      <c r="V4" s="81"/>
      <c r="W4" s="79" t="s">
        <v>8</v>
      </c>
      <c r="X4" s="80"/>
      <c r="Y4" s="34"/>
      <c r="Z4" s="80" t="s">
        <v>9</v>
      </c>
      <c r="AA4" s="80"/>
      <c r="AB4" s="80"/>
      <c r="AC4" s="80"/>
      <c r="AD4" s="80"/>
      <c r="AE4" s="80"/>
      <c r="AF4" s="80"/>
      <c r="AG4" s="80"/>
      <c r="AH4" s="3" t="s">
        <v>10</v>
      </c>
    </row>
    <row r="5" spans="1:36" ht="108" customHeight="1" thickBot="1">
      <c r="A5" s="2" t="s">
        <v>80</v>
      </c>
      <c r="B5" s="5" t="s">
        <v>11</v>
      </c>
      <c r="C5" s="72" t="s">
        <v>137</v>
      </c>
      <c r="D5" s="72" t="s">
        <v>134</v>
      </c>
      <c r="E5" s="72" t="s">
        <v>96</v>
      </c>
      <c r="F5" s="40" t="s">
        <v>2</v>
      </c>
      <c r="G5" s="5" t="s">
        <v>71</v>
      </c>
      <c r="H5" s="5"/>
      <c r="I5" s="5"/>
      <c r="J5" s="27"/>
      <c r="K5" s="5"/>
      <c r="L5" s="5"/>
      <c r="M5" s="27"/>
      <c r="N5" s="72" t="s">
        <v>116</v>
      </c>
      <c r="O5" s="72" t="s">
        <v>101</v>
      </c>
      <c r="P5" s="72" t="s">
        <v>118</v>
      </c>
      <c r="Q5" s="72" t="s">
        <v>93</v>
      </c>
      <c r="R5" s="72" t="s">
        <v>106</v>
      </c>
      <c r="S5" s="5" t="s">
        <v>2</v>
      </c>
      <c r="T5" s="5" t="s">
        <v>102</v>
      </c>
      <c r="U5" s="5"/>
      <c r="V5" s="27"/>
      <c r="W5" s="5"/>
      <c r="X5" s="5"/>
      <c r="Y5" s="35"/>
      <c r="Z5" s="5"/>
      <c r="AA5" s="40"/>
      <c r="AB5" s="5"/>
      <c r="AC5" s="5"/>
      <c r="AD5" s="5"/>
      <c r="AE5" s="40"/>
      <c r="AF5" s="40"/>
      <c r="AG5" s="50"/>
      <c r="AH5" s="5"/>
      <c r="AJ5" s="44"/>
    </row>
    <row r="6" spans="1:36" ht="13.5" thickBot="1">
      <c r="A6" s="2" t="s">
        <v>15</v>
      </c>
      <c r="B6" s="24"/>
      <c r="C6" s="4">
        <v>150</v>
      </c>
      <c r="D6" s="4">
        <v>12</v>
      </c>
      <c r="E6" s="4">
        <v>200</v>
      </c>
      <c r="F6" s="4">
        <v>20</v>
      </c>
      <c r="G6" s="4">
        <v>10</v>
      </c>
      <c r="H6" s="4"/>
      <c r="I6" s="4"/>
      <c r="J6" s="28"/>
      <c r="K6" s="4"/>
      <c r="L6" s="4"/>
      <c r="M6" s="28"/>
      <c r="N6" s="4">
        <v>60</v>
      </c>
      <c r="O6" s="4">
        <v>200</v>
      </c>
      <c r="P6" s="4">
        <v>100</v>
      </c>
      <c r="Q6" s="4">
        <v>150</v>
      </c>
      <c r="R6" s="4">
        <v>200</v>
      </c>
      <c r="S6" s="4">
        <v>50</v>
      </c>
      <c r="T6" s="4">
        <v>40</v>
      </c>
      <c r="U6" s="4"/>
      <c r="V6" s="28"/>
      <c r="W6" s="4"/>
      <c r="X6" s="4"/>
      <c r="Y6" s="24"/>
      <c r="Z6" s="4"/>
      <c r="AA6" s="4"/>
      <c r="AB6" s="4"/>
      <c r="AC6" s="4"/>
      <c r="AD6" s="4"/>
      <c r="AE6" s="4"/>
      <c r="AF6" s="4"/>
      <c r="AG6" s="31"/>
      <c r="AH6" s="4"/>
      <c r="AJ6" s="45"/>
    </row>
    <row r="7" spans="1:36" ht="13.5" thickBot="1">
      <c r="A7" s="2" t="s">
        <v>0</v>
      </c>
      <c r="B7" s="7">
        <f>C7+D7+E7+F7+G7+H7+I7+J7+K7+L7+M7+N7+O7+P7+Q7+R7+S7+T7+U7+V7+W7+X7+Y7+Z7+AA7+AB7+AC7+AD7+AE7+AF7+AH7</f>
        <v>1310.1175200000002</v>
      </c>
      <c r="C7" s="8">
        <f t="shared" ref="C7:I7" si="0">C8*1.1928+C9*1.1928+C10*1.3875+C11*1.1928+C12*3.01+C13*3.01+C14*0.783+C15*7.09+C16*8.99+C17*0.52+C18*1.18+C19*1.56+C20*3.6+C21*1.3659+C22*3.34+C23*3.68+C24*3.314+C25*3.314+C26*3.314+C27*3.314+C28*3.314+C29*3.314+C30*3.314+C31*3.314+C32*3.74+C34*3.558+C35*0.466+C36*0.396+C37*0.56+C38*0.2744+C39*0.2744+C40*0.2744+C41*0.2744+C42*0.2744+C43*0.2744+C44*2.26+C45*1.81+C46*3.78+C49*0.31+C50*3.69</f>
        <v>84.066000000000003</v>
      </c>
      <c r="D7" s="8">
        <f>D8*1.1928+D9*1.1928+D10*1.3875+D11*1.1928+D12*3.01+D13*3.01+D14*0.783+D15*7.09+D16*8.99+D17*0.52+D18*1.18+D19*1.56+D20*3.6+D21*1.3659+D22*3.34+D23*3.68+D24*3.314+D25*3.314+D26*3.314+D27*3.314+D28*3.314+D29*3.314+D30*3.314+D31*3.314+D32*3.74+D34*3.558+D35*0.466+D36*0.396+D37*0.56+D38*0.2744+D39*0.2744+D40*0.2744+D41*0.2744+D42*0.2744+D43*0.2744+D44*2.26+D45*1.81+D46*3.78+D49*0.31+D50*3.69</f>
        <v>47.519999999999996</v>
      </c>
      <c r="E7" s="8">
        <f>E8*1.1928+E9*1.1928+E10*1.3875+E11*1.1928+E12*3.01+E13*3.01+E14*0.783+E15*7.09+E16*8.99+E17*0.52+E18*1.18+E19*1.56+E20*3.6+E21*1.3659+E22*3.34+E23*3.68+E24*3.314+E25*3.314+E26*3.314+E27*3.314+E28*3.314+E29*3.314+E30*3.314+E31*3.314+E32*3.74+E34*3.558+E35*0.466+E36*0.396+E37*0.56+E38*0.2744+E39*0.2744+E40*0.2744+E41*0.2744+E42*0.2744+E43*0.2744+E44*2.26+E45*1.81+E46*3.78+E49*0.31+E50*3.69</f>
        <v>131.04000000000002</v>
      </c>
      <c r="F7" s="8">
        <f>F8*1.1928+F9*1.1928+F10*1.3875+F11*1.1928+F12*3.01+F13*3.01+F14*0.783+F15*7.09+F16*8.99+F17*0.52+F18*1.18+F19*1.56+F20*3.6+F21*1.3659+F22*3.34+F23*3.68+F24*3.314+F25*3.314+F26*3.314+F27*3.314+F28*3.314+F29*3.314+F30*3.314+F31*3.314+F32*3.74+F34*3.558+F35*0.466+F36*0.396+F37*0.56+F38*0.2744+F39*0.2744+F40*0.2744+F41*0.2744+F42*0.2744+F43*0.2744+F44*2.26+F45*1.81+F46*3.78+F49*0.31+F50*3.69</f>
        <v>45.199999999999996</v>
      </c>
      <c r="G7" s="8">
        <f>G8*1.1928+G9*1.1928+G10*1.3875+G11*1.1928+G12*3.01+G13*3.01+G14*0.783+G15*7.09+G16*8.99+G17*0.52+G18*1.18+G19*1.56+G20*3.6+G21*1.3659+G22*3.34+G23*3.68+G24*3.314+G25*3.314+G26*3.314+G27*3.314+G28*3.314+G29*3.314+G30*3.314+G31*3.314+G32*3.74+G34*3.558+G35*0.466+G36*0.396+G37*0.56+G38*0.2744+G39*0.2744+G40*0.2744+G41*0.2744+G42*0.2744+G43*0.2744+G44*2.26+G45*1.81+G46*3.78+G49*0.31+G50*3.69</f>
        <v>35.58</v>
      </c>
      <c r="H7" s="8">
        <f t="shared" si="0"/>
        <v>0</v>
      </c>
      <c r="I7" s="8">
        <f t="shared" si="0"/>
        <v>0</v>
      </c>
      <c r="J7" s="29"/>
      <c r="K7" s="8">
        <f>K8*1.1928+K9*1.1928+K10*1.3875+K11*1.1928+K12*3.01+K13*3.01+K14*0.783+K15*7.09+K16*8.99+K17*0.52+K18*1.18+K19*1.56+K20*3.6+K21*1.3659+K22*3.34+K23*3.68+K24*3.314+K25*3.314+K26*3.314+K27*3.314+K28*3.314+K29*3.314+K30*3.314+K31*3.314+K32*3.74+K34*3.558+K35*0.466+K36*0.396+K37*0.56+K38*0.2744+K39*0.2744+K40*0.2744+K41*0.2744+K42*0.2744+K43*0.2744+K44*2.26+K45*1.81+K46*3.78+K49*0.31+K50*3.69</f>
        <v>0</v>
      </c>
      <c r="L7" s="8">
        <f>L8*1.1928+L9*1.1928+L10*1.3875+L11*1.1928+L12*3.01+L13*3.01+L14*0.783+L15*7.09+L16*8.99+L17*0.52+L18*1.18+L19*1.56+L20*3.6+L21*1.3659+L22*3.34+L23*3.68+L24*3.314+L25*3.314+L26*3.314+L27*3.314+L28*3.314+L29*3.314+L30*3.314+L31*3.314+L32*3.74+L34*3.558+L35*0.466+L36*0.396+L37*0.56+L38*0.2744+L39*0.2744+L40*0.2744+L41*0.2744+L42*0.2744+L43*0.2744+L44*2.26+L45*1.81+L46*3.78+L49*0.31+L50*3.69</f>
        <v>0</v>
      </c>
      <c r="M7" s="29"/>
      <c r="N7" s="8">
        <f t="shared" ref="N7:T7" si="1">N8*1.1928+N9*1.1928+N10*1.3875+N11*1.1928+N12*3.01+N13*3.01+N14*0.783+N15*7.09+N16*8.99+N17*0.52+N18*1.18+N19*1.56+N20*3.6+N21*1.3659+N22*3.34+N23*3.68+N24*3.314+N25*3.314+N26*3.314+N27*3.314+N28*3.314+N29*3.314+N30*3.314+N31*3.314+N32*3.74+N34*3.558+N35*0.466+N36*0.396+N37*0.56+N38*0.2744+N39*0.2744+N40*0.2744+N41*0.2744+N42*0.2744+N43*0.2744+N44*2.26+N45*1.81+N46*3.78+N49*0.31+N50*3.69</f>
        <v>112.28712000000002</v>
      </c>
      <c r="O7" s="8">
        <f t="shared" si="1"/>
        <v>110.60639999999999</v>
      </c>
      <c r="P7" s="8">
        <f t="shared" si="1"/>
        <v>223.26300000000003</v>
      </c>
      <c r="Q7" s="8">
        <f t="shared" si="1"/>
        <v>209.435</v>
      </c>
      <c r="R7" s="8">
        <f t="shared" si="1"/>
        <v>125.72000000000001</v>
      </c>
      <c r="S7" s="8">
        <f t="shared" si="1"/>
        <v>112.99999999999999</v>
      </c>
      <c r="T7" s="8">
        <f t="shared" si="1"/>
        <v>72.400000000000006</v>
      </c>
      <c r="U7" s="8"/>
      <c r="V7" s="29"/>
      <c r="W7" s="8"/>
      <c r="X7" s="8"/>
      <c r="Y7" s="8"/>
      <c r="Z7" s="8">
        <f t="shared" ref="Z7:AF7" si="2">Z8*1.1928+Z9*1.1928+Z10*1.3875+Z11*1.1928+Z12*3.01+Z13*3.01+Z14*0.783+Z15*7.09+Z16*8.99+Z17*0.52+Z18*1.18+Z19*1.56+Z20*3.6+Z21*1.3659+Z22*3.34+Z23*3.68+Z24*3.314+Z25*3.314+Z26*3.314+Z27*3.314+Z28*3.314+Z29*3.314+Z30*3.314+Z31*3.314+Z32*3.74+Z34*3.558+Z35*0.466+Z36*0.396+Z37*0.56+Z38*0.2744+Z39*0.2744+Z40*0.2744+Z41*0.2744+Z42*0.2744+Z43*0.2744+Z44*2.26+Z45*1.81+Z46*3.78+Z49*0.31+Z50*3.69</f>
        <v>0</v>
      </c>
      <c r="AA7" s="8">
        <f t="shared" si="2"/>
        <v>0</v>
      </c>
      <c r="AB7" s="8">
        <f t="shared" si="2"/>
        <v>0</v>
      </c>
      <c r="AC7" s="8">
        <f t="shared" si="2"/>
        <v>0</v>
      </c>
      <c r="AD7" s="8">
        <f t="shared" si="2"/>
        <v>0</v>
      </c>
      <c r="AE7" s="8">
        <f t="shared" si="2"/>
        <v>0</v>
      </c>
      <c r="AF7" s="8">
        <f t="shared" si="2"/>
        <v>0</v>
      </c>
      <c r="AG7" s="31"/>
      <c r="AH7" s="8">
        <f>AH8*1.1928+AH9*1.1928+AH10*1.3875+AH11*1.1928+AH12*3.01+AH13*3.01+AH14*0.783+AH15*7.09+AH16*8.99+AH17*0.52+AH18*1.18+AH19*1.56+AH20*3.6+AH21*1.3659+AH22*3.34+AH23*3.68+AH24*3.314+AH25*3.314+AH26*3.314+AH27*3.314+AH28*3.314+AH29*3.314+AH30*3.314+AH31*3.314+AH32*3.74+AH34*3.558+AH35*0.466+AH36*0.396+AH37*0.56+AH38*0.2744+AH39*0.2744+AH40*0.2744+AH41*0.2744+AH42*0.2744+AH43*0.2744+AH44*2.26+AH45*1.81+AH46*3.78+AH49*0.31+AH50*3.69</f>
        <v>0</v>
      </c>
      <c r="AJ7" s="46"/>
    </row>
    <row r="8" spans="1:36" ht="13.5" thickBot="1">
      <c r="A8" s="2" t="s">
        <v>16</v>
      </c>
      <c r="B8" s="64">
        <f t="shared" ref="B8:B50" si="3">C8+D8+E8+F8+G8+H8+I8+J8+K8+L8+M8+N8+O8+P8+Q8+R8+S8+T8+U8+V8+W8+X8+Y8+Z8+AA8+AB8+AC8+AD8+AE8+AF8+AG8+AH8</f>
        <v>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J8" s="43"/>
    </row>
    <row r="9" spans="1:36" ht="13.5" thickBot="1">
      <c r="A9" s="2" t="s">
        <v>17</v>
      </c>
      <c r="B9" s="64">
        <f t="shared" si="3"/>
        <v>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J9" s="43"/>
    </row>
    <row r="10" spans="1:36" ht="13.5" thickBot="1">
      <c r="A10" s="2" t="s">
        <v>18</v>
      </c>
      <c r="B10" s="64">
        <f t="shared" si="3"/>
        <v>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J10" s="43"/>
    </row>
    <row r="11" spans="1:36" ht="13.5" thickBot="1">
      <c r="A11" s="2" t="s">
        <v>19</v>
      </c>
      <c r="B11" s="64">
        <f t="shared" si="3"/>
        <v>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J11" s="43"/>
    </row>
    <row r="12" spans="1:36" ht="13.5" thickBot="1">
      <c r="A12" s="2" t="s">
        <v>20</v>
      </c>
      <c r="B12" s="64">
        <f t="shared" si="3"/>
        <v>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J12" s="43"/>
    </row>
    <row r="13" spans="1:36" ht="13.5" thickBot="1">
      <c r="A13" s="2" t="s">
        <v>21</v>
      </c>
      <c r="B13" s="64">
        <f t="shared" si="3"/>
        <v>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J13" s="43"/>
    </row>
    <row r="14" spans="1:36" ht="13.5" thickBot="1">
      <c r="A14" s="2" t="s">
        <v>22</v>
      </c>
      <c r="B14" s="64">
        <f t="shared" si="3"/>
        <v>128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>
        <v>128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J14" s="43"/>
    </row>
    <row r="15" spans="1:36" ht="13.5" thickBot="1">
      <c r="A15" s="2" t="s">
        <v>23</v>
      </c>
      <c r="B15" s="64">
        <f t="shared" si="3"/>
        <v>10.199999999999999</v>
      </c>
      <c r="C15" s="65">
        <v>1.2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>
        <v>4</v>
      </c>
      <c r="P15" s="65"/>
      <c r="Q15" s="65">
        <v>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J15" s="43"/>
    </row>
    <row r="16" spans="1:36" ht="13.5" thickBot="1">
      <c r="A16" s="2" t="s">
        <v>24</v>
      </c>
      <c r="B16" s="64">
        <f t="shared" si="3"/>
        <v>19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>
        <v>9</v>
      </c>
      <c r="O16" s="65"/>
      <c r="P16" s="65">
        <v>10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J16" s="43"/>
    </row>
    <row r="17" spans="1:36" ht="13.5" thickBot="1">
      <c r="A17" s="2" t="s">
        <v>54</v>
      </c>
      <c r="B17" s="64">
        <f t="shared" si="3"/>
        <v>125</v>
      </c>
      <c r="C17" s="65">
        <v>75</v>
      </c>
      <c r="D17" s="65"/>
      <c r="E17" s="65">
        <v>50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J17" s="43"/>
    </row>
    <row r="18" spans="1:36" ht="13.5" thickBot="1">
      <c r="A18" s="2" t="s">
        <v>25</v>
      </c>
      <c r="B18" s="64">
        <f t="shared" si="3"/>
        <v>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>
        <v>8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J18" s="43"/>
    </row>
    <row r="19" spans="1:36" ht="13.5" thickBot="1">
      <c r="A19" s="2" t="s">
        <v>26</v>
      </c>
      <c r="B19" s="64">
        <f t="shared" si="3"/>
        <v>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J19" s="43"/>
    </row>
    <row r="20" spans="1:36" ht="13.5" thickBot="1">
      <c r="A20" s="2" t="s">
        <v>27</v>
      </c>
      <c r="B20" s="64">
        <f t="shared" si="3"/>
        <v>13.2</v>
      </c>
      <c r="C20" s="65"/>
      <c r="D20" s="65">
        <v>13.2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J20" s="43"/>
    </row>
    <row r="21" spans="1:36" ht="13.5" thickBot="1">
      <c r="A21" s="2" t="s">
        <v>14</v>
      </c>
      <c r="B21" s="64">
        <f t="shared" si="3"/>
        <v>0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J21" s="43"/>
    </row>
    <row r="22" spans="1:36" ht="13.5" thickBot="1">
      <c r="A22" s="2" t="s">
        <v>28</v>
      </c>
      <c r="B22" s="64">
        <f t="shared" si="3"/>
        <v>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J22" s="43"/>
    </row>
    <row r="23" spans="1:36" ht="13.5" thickBot="1">
      <c r="A23" s="2" t="s">
        <v>29</v>
      </c>
      <c r="B23" s="64">
        <f t="shared" si="3"/>
        <v>24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>
        <v>24</v>
      </c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J23" s="43"/>
    </row>
    <row r="24" spans="1:36" ht="13.5" thickBot="1">
      <c r="A24" s="2" t="s">
        <v>30</v>
      </c>
      <c r="B24" s="64">
        <f t="shared" si="3"/>
        <v>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J24" s="43"/>
    </row>
    <row r="25" spans="1:36" ht="13.5" thickBot="1">
      <c r="A25" s="2" t="s">
        <v>31</v>
      </c>
      <c r="B25" s="64">
        <f t="shared" si="3"/>
        <v>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J25" s="43"/>
    </row>
    <row r="26" spans="1:36" ht="13.5" thickBot="1">
      <c r="A26" s="2" t="s">
        <v>32</v>
      </c>
      <c r="B26" s="64">
        <f t="shared" si="3"/>
        <v>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J26" s="43"/>
    </row>
    <row r="27" spans="1:36" ht="13.5" thickBot="1">
      <c r="A27" s="2" t="s">
        <v>33</v>
      </c>
      <c r="B27" s="64">
        <f t="shared" si="3"/>
        <v>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J27" s="43"/>
    </row>
    <row r="28" spans="1:36" ht="13.5" thickBot="1">
      <c r="A28" s="2" t="s">
        <v>34</v>
      </c>
      <c r="B28" s="64">
        <f t="shared" si="3"/>
        <v>9</v>
      </c>
      <c r="C28" s="65">
        <v>9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J28" s="43"/>
    </row>
    <row r="29" spans="1:36" ht="13.5" thickBot="1">
      <c r="A29" s="2" t="s">
        <v>35</v>
      </c>
      <c r="B29" s="64">
        <f t="shared" si="3"/>
        <v>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J29" s="43"/>
    </row>
    <row r="30" spans="1:36" ht="13.5" thickBot="1">
      <c r="A30" s="2" t="s">
        <v>36</v>
      </c>
      <c r="B30" s="64">
        <f t="shared" si="3"/>
        <v>52.5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>
        <v>52.5</v>
      </c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J30" s="43"/>
    </row>
    <row r="31" spans="1:36" ht="13.5" thickBot="1">
      <c r="A31" s="2" t="s">
        <v>37</v>
      </c>
      <c r="B31" s="64">
        <f t="shared" si="3"/>
        <v>9.6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>
        <v>9.6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J31" s="43"/>
    </row>
    <row r="32" spans="1:36" ht="13.5" thickBot="1">
      <c r="A32" s="2" t="s">
        <v>38</v>
      </c>
      <c r="B32" s="64">
        <f t="shared" si="3"/>
        <v>38.799999999999997</v>
      </c>
      <c r="C32" s="65">
        <v>1.8</v>
      </c>
      <c r="D32" s="65"/>
      <c r="E32" s="65">
        <v>20</v>
      </c>
      <c r="F32" s="65"/>
      <c r="G32" s="65"/>
      <c r="H32" s="65"/>
      <c r="I32" s="65"/>
      <c r="J32" s="65"/>
      <c r="K32" s="65"/>
      <c r="L32" s="65"/>
      <c r="M32" s="65"/>
      <c r="N32" s="65">
        <v>3</v>
      </c>
      <c r="O32" s="65"/>
      <c r="P32" s="65">
        <v>4</v>
      </c>
      <c r="Q32" s="65"/>
      <c r="R32" s="65">
        <v>10</v>
      </c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J32" s="43"/>
    </row>
    <row r="33" spans="1:36" ht="13.5" thickBot="1">
      <c r="A33" s="2" t="s">
        <v>39</v>
      </c>
      <c r="B33" s="64">
        <f t="shared" si="3"/>
        <v>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J33" s="43"/>
    </row>
    <row r="34" spans="1:36" ht="13.5" thickBot="1">
      <c r="A34" s="2" t="s">
        <v>40</v>
      </c>
      <c r="B34" s="64">
        <f t="shared" si="3"/>
        <v>10</v>
      </c>
      <c r="C34" s="65"/>
      <c r="D34" s="65"/>
      <c r="E34" s="65"/>
      <c r="F34" s="65"/>
      <c r="G34" s="65">
        <v>10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J34" s="43"/>
    </row>
    <row r="35" spans="1:36" ht="13.5" thickBot="1">
      <c r="A35" s="2" t="s">
        <v>41</v>
      </c>
      <c r="B35" s="64">
        <f t="shared" si="3"/>
        <v>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J35" s="43"/>
    </row>
    <row r="36" spans="1:36" ht="13.5" thickBot="1">
      <c r="A36" s="2" t="s">
        <v>42</v>
      </c>
      <c r="B36" s="64">
        <f t="shared" si="3"/>
        <v>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>
        <v>6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J36" s="43"/>
    </row>
    <row r="37" spans="1:36" ht="13.5" thickBot="1">
      <c r="A37" s="2" t="s">
        <v>43</v>
      </c>
      <c r="B37" s="64">
        <f t="shared" si="3"/>
        <v>53.6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>
        <v>53.6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J37" s="43"/>
    </row>
    <row r="38" spans="1:36" ht="13.5" thickBot="1">
      <c r="A38" s="2" t="s">
        <v>44</v>
      </c>
      <c r="B38" s="64">
        <f t="shared" si="3"/>
        <v>38.6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>
        <v>18.600000000000001</v>
      </c>
      <c r="O38" s="65">
        <v>20</v>
      </c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J38" s="43"/>
    </row>
    <row r="39" spans="1:36" ht="13.5" thickBot="1">
      <c r="A39" s="2" t="s">
        <v>45</v>
      </c>
      <c r="B39" s="64">
        <f t="shared" si="3"/>
        <v>64.45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>
        <v>7.8</v>
      </c>
      <c r="O39" s="65">
        <v>10.4</v>
      </c>
      <c r="P39" s="65">
        <v>46.25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J39" s="43"/>
    </row>
    <row r="40" spans="1:36" ht="13.5" thickBot="1">
      <c r="A40" s="2" t="s">
        <v>46</v>
      </c>
      <c r="B40" s="64">
        <f t="shared" si="3"/>
        <v>37.4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>
        <v>7.8</v>
      </c>
      <c r="O40" s="65">
        <v>9.6</v>
      </c>
      <c r="P40" s="65">
        <v>20</v>
      </c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J40" s="43"/>
    </row>
    <row r="41" spans="1:36" ht="13.5" thickBot="1">
      <c r="A41" s="2" t="s">
        <v>47</v>
      </c>
      <c r="B41" s="64">
        <f t="shared" si="3"/>
        <v>18.600000000000001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>
        <v>18.600000000000001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J41" s="43"/>
    </row>
    <row r="42" spans="1:36" ht="13.5" thickBot="1">
      <c r="A42" s="2" t="s">
        <v>117</v>
      </c>
      <c r="B42" s="64">
        <f t="shared" si="3"/>
        <v>12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>
        <v>12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J42" s="43"/>
    </row>
    <row r="43" spans="1:36" ht="13.5" thickBot="1">
      <c r="A43" s="2" t="s">
        <v>49</v>
      </c>
      <c r="B43" s="64">
        <f t="shared" si="3"/>
        <v>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J43" s="43"/>
    </row>
    <row r="44" spans="1:36" ht="13.5" thickBot="1">
      <c r="A44" s="2" t="s">
        <v>2</v>
      </c>
      <c r="B44" s="64">
        <f t="shared" si="3"/>
        <v>70</v>
      </c>
      <c r="C44" s="65"/>
      <c r="D44" s="65"/>
      <c r="E44" s="65"/>
      <c r="F44" s="65">
        <v>20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>
        <v>50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J44" s="43"/>
    </row>
    <row r="45" spans="1:36" ht="13.5" thickBot="1">
      <c r="A45" s="2" t="s">
        <v>3</v>
      </c>
      <c r="B45" s="64">
        <f t="shared" si="3"/>
        <v>40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>
        <v>40</v>
      </c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J45" s="43"/>
    </row>
    <row r="46" spans="1:36" ht="13.5" thickBot="1">
      <c r="A46" s="2" t="s">
        <v>50</v>
      </c>
      <c r="B46" s="64">
        <f t="shared" si="3"/>
        <v>8</v>
      </c>
      <c r="C46" s="65"/>
      <c r="D46" s="65"/>
      <c r="E46" s="65">
        <v>8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J46" s="43"/>
    </row>
    <row r="47" spans="1:36" ht="13.5" thickBot="1">
      <c r="A47" s="2" t="s">
        <v>51</v>
      </c>
      <c r="B47" s="64">
        <f t="shared" si="3"/>
        <v>0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J47" s="43"/>
    </row>
    <row r="48" spans="1:36" ht="13.5" thickBot="1">
      <c r="A48" s="2" t="s">
        <v>52</v>
      </c>
      <c r="B48" s="64">
        <f t="shared" si="3"/>
        <v>20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>
        <v>20</v>
      </c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J48" s="43"/>
    </row>
    <row r="49" spans="1:36" ht="13.5" thickBot="1">
      <c r="A49" s="2" t="s">
        <v>13</v>
      </c>
      <c r="B49" s="64">
        <f t="shared" si="3"/>
        <v>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J49" s="43"/>
    </row>
    <row r="50" spans="1:36" ht="13.5" thickBot="1">
      <c r="A50" s="2" t="s">
        <v>53</v>
      </c>
      <c r="B50" s="64">
        <f t="shared" si="3"/>
        <v>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J50" s="43"/>
    </row>
    <row r="51" spans="1:36" ht="26.25" thickBot="1">
      <c r="A51" s="2" t="s">
        <v>115</v>
      </c>
      <c r="B51" s="64">
        <f>C51+D51+E51+F51+G51+H51+I51+J51+K51+L51+M51+N51+O51+P51+Q51+R51+S51+T51+U51+V51+W51+X51+Y51+Z51+AA51+AB51+AC51+AD51+AE51+AF51+AG51+AI51</f>
        <v>0</v>
      </c>
      <c r="C51" s="2"/>
      <c r="D51" s="2"/>
      <c r="E51" s="2"/>
      <c r="F51" s="2"/>
      <c r="G51" s="65"/>
      <c r="H51" s="2"/>
      <c r="I51" s="2"/>
      <c r="J51" s="65"/>
      <c r="K51" s="2"/>
      <c r="L51" s="6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5"/>
    </row>
  </sheetData>
  <mergeCells count="20">
    <mergeCell ref="Z4:AG4"/>
    <mergeCell ref="C4:J4"/>
    <mergeCell ref="K4:L4"/>
    <mergeCell ref="N4:V4"/>
    <mergeCell ref="W4:X4"/>
    <mergeCell ref="AB1:AH1"/>
    <mergeCell ref="B1:J1"/>
    <mergeCell ref="K1:L1"/>
    <mergeCell ref="N1:V1"/>
    <mergeCell ref="W1:X1"/>
    <mergeCell ref="AA2:AG2"/>
    <mergeCell ref="B3:J3"/>
    <mergeCell ref="K3:L3"/>
    <mergeCell ref="N3:V3"/>
    <mergeCell ref="W3:X3"/>
    <mergeCell ref="AA3:AG3"/>
    <mergeCell ref="B2:J2"/>
    <mergeCell ref="K2:L2"/>
    <mergeCell ref="N2:V2"/>
    <mergeCell ref="W2:X2"/>
  </mergeCells>
  <phoneticPr fontId="4" type="noConversion"/>
  <pageMargins left="0.16" right="0.16" top="0.24" bottom="0.22" header="0.16" footer="0.15"/>
  <pageSetup paperSize="9" scale="7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1"/>
  <sheetViews>
    <sheetView zoomScale="75" workbookViewId="0">
      <selection activeCell="F5" sqref="F5"/>
    </sheetView>
  </sheetViews>
  <sheetFormatPr defaultRowHeight="12.75"/>
  <cols>
    <col min="1" max="1" width="21.140625" customWidth="1"/>
    <col min="2" max="2" width="6.5703125" customWidth="1"/>
    <col min="3" max="3" width="6.85546875" customWidth="1"/>
    <col min="4" max="4" width="5.85546875" customWidth="1"/>
    <col min="5" max="6" width="5.42578125" customWidth="1"/>
    <col min="7" max="8" width="6" customWidth="1"/>
    <col min="9" max="9" width="1.140625" customWidth="1"/>
    <col min="10" max="10" width="0.42578125" customWidth="1"/>
    <col min="11" max="11" width="6.42578125" customWidth="1"/>
    <col min="12" max="12" width="4.7109375" customWidth="1"/>
    <col min="13" max="13" width="1.140625" customWidth="1"/>
    <col min="14" max="14" width="5.7109375" customWidth="1"/>
    <col min="15" max="15" width="5.42578125" customWidth="1"/>
    <col min="16" max="16" width="6.5703125" customWidth="1"/>
    <col min="17" max="17" width="6.7109375" customWidth="1"/>
    <col min="18" max="18" width="7" customWidth="1"/>
    <col min="19" max="20" width="5.7109375" customWidth="1"/>
    <col min="21" max="21" width="7.140625" customWidth="1"/>
    <col min="22" max="22" width="0.7109375" customWidth="1"/>
    <col min="23" max="23" width="6.28515625" customWidth="1"/>
    <col min="24" max="24" width="6.5703125" customWidth="1"/>
    <col min="25" max="25" width="5.7109375" customWidth="1"/>
    <col min="26" max="26" width="6.140625" customWidth="1"/>
    <col min="27" max="27" width="5.5703125" customWidth="1"/>
    <col min="28" max="28" width="5.28515625" customWidth="1"/>
    <col min="29" max="29" width="5.85546875" customWidth="1"/>
    <col min="30" max="30" width="6" customWidth="1"/>
    <col min="31" max="32" width="6.140625" customWidth="1"/>
    <col min="33" max="33" width="1.140625" customWidth="1"/>
    <col min="34" max="34" width="0.85546875" customWidth="1"/>
    <col min="35" max="35" width="6" customWidth="1"/>
  </cols>
  <sheetData>
    <row r="1" spans="1:43" ht="13.5" thickBot="1">
      <c r="A1" s="1" t="s">
        <v>75</v>
      </c>
      <c r="B1" s="83" t="s">
        <v>89</v>
      </c>
      <c r="C1" s="82"/>
      <c r="D1" s="82"/>
      <c r="E1" s="82"/>
      <c r="F1" s="82"/>
      <c r="G1" s="82"/>
      <c r="H1" s="82"/>
      <c r="I1" s="82"/>
      <c r="J1" s="84"/>
      <c r="K1" s="83"/>
      <c r="L1" s="84"/>
      <c r="M1" s="39"/>
      <c r="N1" s="83" t="s">
        <v>90</v>
      </c>
      <c r="O1" s="82"/>
      <c r="P1" s="82"/>
      <c r="Q1" s="82"/>
      <c r="R1" s="82"/>
      <c r="S1" s="82"/>
      <c r="T1" s="82"/>
      <c r="U1" s="82"/>
      <c r="V1" s="84"/>
      <c r="W1" s="83">
        <v>15</v>
      </c>
      <c r="X1" s="84"/>
      <c r="Y1" s="39"/>
      <c r="Z1" s="38"/>
      <c r="AA1" s="38"/>
      <c r="AB1" s="37"/>
      <c r="AC1" s="82"/>
      <c r="AD1" s="82"/>
      <c r="AE1" s="82"/>
      <c r="AF1" s="82"/>
      <c r="AG1" s="82"/>
      <c r="AH1" s="82"/>
      <c r="AI1" s="82"/>
      <c r="AJ1" s="41"/>
    </row>
    <row r="2" spans="1:43" ht="26.25" thickBot="1">
      <c r="A2" s="1" t="s">
        <v>4</v>
      </c>
      <c r="B2" s="77">
        <f>B3*100/2350</f>
        <v>26.817474468085109</v>
      </c>
      <c r="C2" s="73"/>
      <c r="D2" s="73"/>
      <c r="E2" s="73"/>
      <c r="F2" s="73"/>
      <c r="G2" s="73"/>
      <c r="H2" s="73"/>
      <c r="I2" s="73"/>
      <c r="J2" s="78"/>
      <c r="K2" s="77">
        <f>K3*100/B7</f>
        <v>0</v>
      </c>
      <c r="L2" s="78"/>
      <c r="M2" s="10"/>
      <c r="N2" s="77">
        <f>N3*100/2350</f>
        <v>37.070959999999999</v>
      </c>
      <c r="O2" s="73"/>
      <c r="P2" s="73"/>
      <c r="Q2" s="73"/>
      <c r="R2" s="73"/>
      <c r="S2" s="73"/>
      <c r="T2" s="73"/>
      <c r="U2" s="73"/>
      <c r="V2" s="78"/>
      <c r="W2" s="77">
        <f>W3*100/1970</f>
        <v>0</v>
      </c>
      <c r="X2" s="78"/>
      <c r="Y2" s="10"/>
      <c r="Z2" s="32"/>
      <c r="AA2" s="9"/>
      <c r="AB2" s="73">
        <f>AB3*100/B7</f>
        <v>0</v>
      </c>
      <c r="AC2" s="73"/>
      <c r="AD2" s="73"/>
      <c r="AE2" s="73"/>
      <c r="AF2" s="73"/>
      <c r="AG2" s="73"/>
      <c r="AH2" s="73"/>
      <c r="AI2" s="10">
        <f>AI3*100/B7</f>
        <v>0</v>
      </c>
    </row>
    <row r="3" spans="1:43" ht="13.5" thickBot="1">
      <c r="A3" s="2" t="s">
        <v>5</v>
      </c>
      <c r="B3" s="74">
        <f>C7+D7+E7+F7+G7+H7+I7+J7</f>
        <v>630.2106500000001</v>
      </c>
      <c r="C3" s="75"/>
      <c r="D3" s="75"/>
      <c r="E3" s="75"/>
      <c r="F3" s="75"/>
      <c r="G3" s="75"/>
      <c r="H3" s="75"/>
      <c r="I3" s="75"/>
      <c r="J3" s="76"/>
      <c r="K3" s="74">
        <f>K7+L7</f>
        <v>0</v>
      </c>
      <c r="L3" s="76"/>
      <c r="M3" s="11"/>
      <c r="N3" s="74">
        <f>N7+O7+P7+Q7+R7+S7+T7+U7+V7</f>
        <v>871.16755999999998</v>
      </c>
      <c r="O3" s="75"/>
      <c r="P3" s="75"/>
      <c r="Q3" s="75"/>
      <c r="R3" s="75"/>
      <c r="S3" s="75"/>
      <c r="T3" s="75"/>
      <c r="U3" s="75"/>
      <c r="V3" s="76"/>
      <c r="W3" s="77">
        <f>W7+X7</f>
        <v>0</v>
      </c>
      <c r="X3" s="76"/>
      <c r="Y3" s="11"/>
      <c r="Z3" s="33"/>
      <c r="AA3" s="12"/>
      <c r="AB3" s="73">
        <f>Z7+AA7+AB7+AC7+AD7+AE7+AF7</f>
        <v>0</v>
      </c>
      <c r="AC3" s="75"/>
      <c r="AD3" s="75"/>
      <c r="AE3" s="75"/>
      <c r="AF3" s="75"/>
      <c r="AG3" s="75"/>
      <c r="AH3" s="75"/>
      <c r="AI3" s="11">
        <f>AI7</f>
        <v>0</v>
      </c>
    </row>
    <row r="4" spans="1:43" ht="15" customHeight="1" thickBot="1">
      <c r="A4" s="2"/>
      <c r="B4" s="3"/>
      <c r="C4" s="79" t="s">
        <v>1</v>
      </c>
      <c r="D4" s="80"/>
      <c r="E4" s="80"/>
      <c r="F4" s="80"/>
      <c r="G4" s="80"/>
      <c r="H4" s="80"/>
      <c r="I4" s="80"/>
      <c r="J4" s="81"/>
      <c r="K4" s="79" t="s">
        <v>6</v>
      </c>
      <c r="L4" s="81"/>
      <c r="M4" s="3"/>
      <c r="N4" s="79" t="s">
        <v>7</v>
      </c>
      <c r="O4" s="80"/>
      <c r="P4" s="80"/>
      <c r="Q4" s="80"/>
      <c r="R4" s="80"/>
      <c r="S4" s="80"/>
      <c r="T4" s="80"/>
      <c r="U4" s="80"/>
      <c r="V4" s="81"/>
      <c r="W4" s="79" t="s">
        <v>8</v>
      </c>
      <c r="X4" s="81"/>
      <c r="Y4" s="3"/>
      <c r="Z4" s="34"/>
      <c r="AA4" s="79" t="s">
        <v>9</v>
      </c>
      <c r="AB4" s="80"/>
      <c r="AC4" s="80"/>
      <c r="AD4" s="80"/>
      <c r="AE4" s="80"/>
      <c r="AF4" s="80"/>
      <c r="AG4" s="80"/>
      <c r="AH4" s="80"/>
      <c r="AI4" s="3" t="s">
        <v>10</v>
      </c>
    </row>
    <row r="5" spans="1:43" ht="103.5" customHeight="1" thickBot="1">
      <c r="A5" s="2" t="s">
        <v>81</v>
      </c>
      <c r="B5" s="5" t="s">
        <v>11</v>
      </c>
      <c r="C5" s="72" t="s">
        <v>119</v>
      </c>
      <c r="D5" s="72" t="s">
        <v>143</v>
      </c>
      <c r="E5" s="72" t="s">
        <v>129</v>
      </c>
      <c r="F5" s="72" t="s">
        <v>97</v>
      </c>
      <c r="G5" s="5"/>
      <c r="H5" s="5"/>
      <c r="I5" s="5"/>
      <c r="J5" s="27"/>
      <c r="K5" s="5"/>
      <c r="L5" s="5"/>
      <c r="M5" s="27"/>
      <c r="N5" s="72" t="s">
        <v>103</v>
      </c>
      <c r="O5" s="72" t="s">
        <v>120</v>
      </c>
      <c r="P5" s="72" t="s">
        <v>121</v>
      </c>
      <c r="Q5" s="72" t="s">
        <v>100</v>
      </c>
      <c r="R5" s="5" t="s">
        <v>13</v>
      </c>
      <c r="S5" s="5" t="s">
        <v>2</v>
      </c>
      <c r="T5" s="5" t="s">
        <v>102</v>
      </c>
      <c r="U5" s="5" t="s">
        <v>136</v>
      </c>
      <c r="V5" s="27"/>
      <c r="W5" s="5"/>
      <c r="X5" s="5"/>
      <c r="Y5" s="35"/>
      <c r="Z5" s="5"/>
      <c r="AA5" s="5"/>
      <c r="AB5" s="5"/>
      <c r="AC5" s="5"/>
      <c r="AD5" s="5"/>
      <c r="AE5" s="5"/>
      <c r="AF5" s="5"/>
      <c r="AG5" s="5"/>
      <c r="AH5" s="50"/>
      <c r="AI5" s="5"/>
      <c r="AK5" s="44"/>
      <c r="AL5" s="44"/>
      <c r="AM5" s="44"/>
      <c r="AN5" s="44"/>
      <c r="AO5" s="47"/>
      <c r="AP5" s="47"/>
      <c r="AQ5" s="44"/>
    </row>
    <row r="6" spans="1:43" ht="13.5" thickBot="1">
      <c r="A6" s="2" t="s">
        <v>15</v>
      </c>
      <c r="B6" s="24"/>
      <c r="C6" s="4">
        <v>130</v>
      </c>
      <c r="D6" s="4">
        <v>175</v>
      </c>
      <c r="E6" s="4">
        <v>50</v>
      </c>
      <c r="F6" s="4">
        <v>200</v>
      </c>
      <c r="G6" s="4"/>
      <c r="H6" s="4"/>
      <c r="I6" s="4"/>
      <c r="J6" s="28"/>
      <c r="K6" s="4"/>
      <c r="L6" s="4"/>
      <c r="M6" s="28"/>
      <c r="N6" s="4">
        <v>60</v>
      </c>
      <c r="O6" s="4">
        <v>200</v>
      </c>
      <c r="P6" s="4">
        <v>100</v>
      </c>
      <c r="Q6" s="4">
        <v>150</v>
      </c>
      <c r="R6" s="4">
        <v>200</v>
      </c>
      <c r="S6" s="4">
        <v>50</v>
      </c>
      <c r="T6" s="4">
        <v>40</v>
      </c>
      <c r="U6" s="4">
        <v>170</v>
      </c>
      <c r="V6" s="28"/>
      <c r="W6" s="4"/>
      <c r="X6" s="4"/>
      <c r="Y6" s="24"/>
      <c r="Z6" s="4"/>
      <c r="AA6" s="4"/>
      <c r="AB6" s="4"/>
      <c r="AC6" s="4"/>
      <c r="AD6" s="4"/>
      <c r="AE6" s="4"/>
      <c r="AF6" s="4"/>
      <c r="AG6" s="4"/>
      <c r="AH6" s="31"/>
      <c r="AI6" s="4"/>
      <c r="AK6" s="45"/>
      <c r="AL6" s="45"/>
      <c r="AM6" s="45"/>
      <c r="AN6" s="45"/>
      <c r="AO6" s="45"/>
      <c r="AP6" s="45"/>
      <c r="AQ6" s="45"/>
    </row>
    <row r="7" spans="1:43" ht="13.5" thickBot="1">
      <c r="A7" s="2" t="s">
        <v>0</v>
      </c>
      <c r="B7" s="8">
        <f t="shared" ref="B7:B51" si="0">C7+D7+E7+F7+G7+H7+I7+J7+K7+L7+M7+N7+O7+P7+Q7+R7+S7+T7+U7+V7+W7+X7+Y7+Z7+AA7+AB7+AC7+AD7+AE7+AF7+AG7+AI7</f>
        <v>1501.3782100000001</v>
      </c>
      <c r="C7" s="8">
        <f t="shared" ref="C7:I7" si="1">C8*1.1928+C9*1.1928+C10*1.3875+C11*1.1928+C12*3.01+C13*3.01+C14*0.783+C15*7.09+C16*8.99+C17*0.52+C18*1.18+C19*1.56+C20*3.6+C21*1.3659+C22*3.34+C23*3.68+C24*3.314+C25*3.314+C26*3.314+C27*3.314+C28*3.314+C29*3.314+C30*3.314+C31*3.314+C32*3.74+C34*3.558+C35*0.466+C36*0.396+C37*0.56+C38*0.2744+C39*0.2744+C40*0.2744+C41*0.2744+C42*0.2744+C43*0.2744+C44*2.26+C45*1.81+C46*3.78+C49*0.31+C50*3.69</f>
        <v>276.70415000000003</v>
      </c>
      <c r="D7" s="8">
        <f>D8*1.1928+D9*1.1928+D10*1.3875+D11*1.1928+D12*3.01+D13*3.01+D14*0.783+D15*7.09+D16*8.99+D17*0.52+D18*1.18+D19*1.56+D20*3.6+D21*1.3659+D22*3.34+D23*3.68+D24*3.314+D25*3.314+D26*3.314+D27*3.314+D28*3.314+D29*3.314+D30*3.314+D31*3.314+D32*3.74+D34*3.558+D35*0.466+D36*0.396+D37*0.56+D38*0.2744+D39*0.2744+D40*0.2744+D41*0.2744+D42*0.2744+D43*0.2744+D44*2.26+D45*1.81+D46*3.78+D49*0.31+D50*3.69+D51*0.52</f>
        <v>94.12</v>
      </c>
      <c r="E7" s="8">
        <f t="shared" si="1"/>
        <v>200.11850000000001</v>
      </c>
      <c r="F7" s="8">
        <f t="shared" si="1"/>
        <v>59.268000000000001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29"/>
      <c r="K7" s="8">
        <f>K8*1.1928+K9*1.1928+K10*1.3875+K11*1.1928+K12*3.01+K13*3.01+K14*0.783+K15*7.09+K16*8.99+K17*0.52+K18*1.18+K19*1.56+K20*3.6+K21*1.3659+K22*3.34+K23*3.68+K24*3.314+K25*3.314+K26*3.314+K27*3.314+K28*3.314+K29*3.314+K30*3.314+K31*3.314+K32*3.74+K34*3.558+K35*0.466+K36*0.396+K37*0.56+K38*0.2744+K39*0.2744+K40*0.2744+K41*0.2744+K42*0.2744+K43*0.2744+K44*2.26+K45*1.81+K46*3.78+K49*0.31+K50*3.69</f>
        <v>0</v>
      </c>
      <c r="L7" s="8">
        <f>L8*1.1928+L9*1.1928+L10*1.3875+L11*1.1928+L12*3.01+L13*3.01+L14*0.783+L15*7.09+L16*8.99+L17*0.52+L18*1.18+L19*1.56+L20*3.6+L21*1.3659+L22*3.34+L23*3.68+L24*3.314+L25*3.314+L26*3.314+L27*3.314+L28*3.314+L29*3.314+L30*3.314+L31*3.314+L32*3.74+L34*3.558+L35*0.466+L36*0.396+L37*0.56+L38*0.2744+L39*0.2744+L40*0.2744+L41*0.2744+L42*0.2744+L43*0.2744+L44*2.26+L45*1.81+L46*3.78+L49*0.31+L50*3.69</f>
        <v>0</v>
      </c>
      <c r="M7" s="29"/>
      <c r="N7" s="8">
        <f>N8*1.1928+N9*1.1928+N10*1.3875+N11*1.1928+N12*3.01+N13*3.01+N14*0.783+N15*7.09+N16*8.99+N17*0.52+N18*1.18+N19*1.56+N20*3.6+N21*1.3659+N22*3.34+N23*3.68+N24*3.314+N25*3.314+N26*3.314+N27*3.314+N28*3.314+N29*3.314+N30*3.314+N31*3.314+N32*3.74+N34*3.558+N35*0.466+N36*0.396+N37*0.56+N38*0.2744+N39*0.2744+N40*0.2744+N41*0.2744+N42*0.2744+N43*0.2744+N44*2.26+N45*1.81+N46*3.78+N49*0.31+N50*3.69</f>
        <v>56.574799999999996</v>
      </c>
      <c r="O7" s="8">
        <f t="shared" ref="O7:T7" si="2">O8*1.1928+O9*1.1928+O10*1.3875+O11*1.1928+O12*3.01+O13*3.01+O14*0.783+O15*7.09+O16*8.99+O17*0.52+O18*1.18+O19*1.56+O20*3.6+O21*1.3659+O22*3.34+O23*3.68+O24*3.314+O25*3.314+O26*3.314+O27*3.314+O28*3.314+O29*3.314+O30*3.314+O31*3.314+O32*3.74+O34*3.558+O35*0.466+O36*0.396+O37*0.56+O38*0.2744+O39*0.2744+O40*0.2744+O41*0.2744+O42*0.2744+O43*0.2744+O44*2.26+O45*1.81+O46*3.78+O49*0.31+O50*3.69</f>
        <v>82.305759999999992</v>
      </c>
      <c r="P7" s="8">
        <f t="shared" si="2"/>
        <v>271.89699999999999</v>
      </c>
      <c r="Q7" s="8">
        <f t="shared" si="2"/>
        <v>143.69</v>
      </c>
      <c r="R7" s="8">
        <f>R8*1.1928+R9*1.1928+R10*1.3875+R11*1.1928+R12*3.01+R13*3.01+R14*0.783+R15*7.09+R16*8.99+R17*0.52+R18*1.18+R19*1.56+R20*3.6+R21*1.3659+R22*3.34+R23*3.68+R24*3.314+R25*3.314+R26*3.314+R27*3.314+R28*3.314+R29*3.314+R30*3.314+R31*3.314+R32*3.74+R34*3.558+R35*0.466+R36*0.396+R37*0.56+R38*0.2744+R39*0.2744+R40*0.2744+R41*0.2744+R42*0.2744+R43*0.2744+R44*2.26+R45*1.81+R46*3.78+R49*0.31+R50*3.69</f>
        <v>62</v>
      </c>
      <c r="S7" s="8">
        <f t="shared" si="2"/>
        <v>112.99999999999999</v>
      </c>
      <c r="T7" s="8">
        <f t="shared" si="2"/>
        <v>72.400000000000006</v>
      </c>
      <c r="U7" s="8">
        <f>U8*1.1928+U9*1.1928+U10*1.3875+U11*1.1928+U12*3.01+U13*3.01+U14*0.783+U15*7.09+U16*8.99+U17*0.52+U18*1.18+U19*1.56+U20*3.6+U21*1.3659+U22*3.34+U23*3.68+U24*3.314+U25*3.314+U26*3.314+U27*3.314+U28*3.314+U29*3.314+U30*3.314+U31*3.314+U32*3.74+U34*3.558+U35*0.466+U36*0.396+U37*0.56+U38*0.2744+U39*0.2744+U40*0.2744+U41*0.2744+U42*0.2744+U43*0.2744+U44*2.26+U45*1.81+U46*3.78+U49*0.31+U50*3.69</f>
        <v>69.3</v>
      </c>
      <c r="V7" s="29"/>
      <c r="W7" s="8"/>
      <c r="X7" s="8"/>
      <c r="Y7" s="8">
        <f>Y8*1.1928+Y9*1.1928+Y10*1.3875+Y11*1.1928+Y12*3.01+Y13*3.01+Y14*0.783+Y15*7.09+Y16*8.99+Y17*0.52+Y18*1.18+Y19*1.56+Y20*3.6+Y21*1.3659+Y22*3.34+Y23*3.68+Y24*3.314+Y25*3.314+Y26*3.314+Y27*3.314+Y28*3.314+Y29*3.314+Y30*3.314+Y31*3.314+Y32*3.74+Y34*3.558+Y35*0.466+Y36*0.396+Y37*0.56+Y38*0.2744+Y39*0.2744+Y40*0.2744+Y41*0.2744+Y42*0.2744+Y43*0.2744+Y44*2.26+Y45*1.81+Y46*3.78+Y49*0.31+Y50*3.69</f>
        <v>0</v>
      </c>
      <c r="Z7" s="8">
        <f t="shared" ref="Z7:AF7" si="3">Z8*1.1928+Z9*1.1928+Z10*1.3875+Z11*1.1928+Z12*3.01+Z13*3.01+Z14*0.783+Z15*7.09+Z16*8.99+Z17*0.52+Z18*1.18+Z19*1.56+Z20*3.6+Z21*1.3659+Z22*3.34+Z23*3.68+Z24*3.314+Z25*3.314+Z26*3.314+Z27*3.314+Z28*3.314+Z29*3.314+Z30*3.314+Z31*3.314+Z32*3.74+Z34*3.558+Z35*0.466+Z36*0.396+Z37*0.56+Z38*0.2744+Z39*0.2744+Z40*0.2744+Z41*0.2744+Z42*0.2744+Z43*0.2744+Z44*2.26+Z45*1.81+Z46*3.78+Z49*0.31+Z50*3.69</f>
        <v>0</v>
      </c>
      <c r="AA7" s="8">
        <f t="shared" si="3"/>
        <v>0</v>
      </c>
      <c r="AB7" s="8">
        <f t="shared" si="3"/>
        <v>0</v>
      </c>
      <c r="AC7" s="8">
        <f t="shared" si="3"/>
        <v>0</v>
      </c>
      <c r="AD7" s="8">
        <f t="shared" si="3"/>
        <v>0</v>
      </c>
      <c r="AE7" s="8">
        <f t="shared" si="3"/>
        <v>0</v>
      </c>
      <c r="AF7" s="8">
        <f t="shared" si="3"/>
        <v>0</v>
      </c>
      <c r="AG7" s="8"/>
      <c r="AH7" s="31"/>
      <c r="AI7" s="8">
        <f>AI8*1.1928+AI9*1.1928+AI10*1.3875+AI11*1.1928+AI12*3.01+AI13*3.01+AI14*0.783+AI15*7.09+AI16*8.99+AI17*0.52+AI18*1.18+AI19*1.56+AI20*3.6+AI21*1.3659+AI22*3.34+AI23*3.68+AI24*3.314+AI25*3.314+AI26*3.314+AI27*3.314+AI28*3.314+AI29*3.314+AI30*3.314+AI31*3.314+AI32*3.74+AI34*3.558+AI35*0.466+AI36*0.396+AI37*0.56+AI38*0.2744+AI39*0.2744+AI40*0.2744+AI41*0.2744+AI42*0.2744+AI43*0.2744+AI44*2.26+AI45*1.81+AI46*3.78+AI49*0.31+AI50*3.69</f>
        <v>0</v>
      </c>
      <c r="AK7" s="46"/>
      <c r="AL7" s="46"/>
      <c r="AM7" s="46"/>
      <c r="AN7" s="46"/>
      <c r="AO7" s="46"/>
      <c r="AP7" s="46"/>
      <c r="AQ7" s="46"/>
    </row>
    <row r="8" spans="1:43" ht="13.5" thickBot="1">
      <c r="A8" s="2" t="s">
        <v>16</v>
      </c>
      <c r="B8" s="64">
        <f t="shared" si="0"/>
        <v>102.5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>
        <v>102.5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K8" s="43"/>
      <c r="AL8" s="43"/>
      <c r="AM8" s="43"/>
      <c r="AN8" s="43"/>
      <c r="AO8" s="43"/>
      <c r="AP8" s="43"/>
      <c r="AQ8" s="43"/>
    </row>
    <row r="9" spans="1:43" ht="13.5" thickBot="1">
      <c r="A9" s="2" t="s">
        <v>17</v>
      </c>
      <c r="B9" s="64">
        <f t="shared" si="0"/>
        <v>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K9" s="43"/>
      <c r="AL9" s="43"/>
      <c r="AM9" s="43"/>
      <c r="AN9" s="43"/>
      <c r="AO9" s="43"/>
      <c r="AP9" s="43"/>
      <c r="AQ9" s="43"/>
    </row>
    <row r="10" spans="1:43" ht="13.5" thickBot="1">
      <c r="A10" s="2" t="s">
        <v>18</v>
      </c>
      <c r="B10" s="64">
        <f t="shared" si="0"/>
        <v>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K10" s="43"/>
      <c r="AL10" s="43"/>
      <c r="AM10" s="43"/>
      <c r="AN10" s="43"/>
      <c r="AO10" s="43"/>
      <c r="AP10" s="43"/>
      <c r="AQ10" s="43"/>
    </row>
    <row r="11" spans="1:43" ht="13.5" thickBot="1">
      <c r="A11" s="2" t="s">
        <v>19</v>
      </c>
      <c r="B11" s="64">
        <f t="shared" si="0"/>
        <v>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K11" s="43"/>
      <c r="AL11" s="43"/>
      <c r="AM11" s="43"/>
      <c r="AN11" s="43"/>
      <c r="AO11" s="43"/>
      <c r="AP11" s="43"/>
      <c r="AQ11" s="43"/>
    </row>
    <row r="12" spans="1:43" ht="13.5" thickBot="1">
      <c r="A12" s="2" t="s">
        <v>20</v>
      </c>
      <c r="B12" s="64">
        <f t="shared" si="0"/>
        <v>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K12" s="43"/>
      <c r="AL12" s="43"/>
      <c r="AM12" s="43"/>
      <c r="AN12" s="43"/>
      <c r="AO12" s="43"/>
      <c r="AP12" s="43"/>
      <c r="AQ12" s="43"/>
    </row>
    <row r="13" spans="1:43" ht="13.5" thickBot="1">
      <c r="A13" s="2" t="s">
        <v>21</v>
      </c>
      <c r="B13" s="64">
        <f t="shared" si="0"/>
        <v>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K13" s="43"/>
      <c r="AL13" s="43"/>
      <c r="AM13" s="43"/>
      <c r="AN13" s="43"/>
      <c r="AO13" s="43"/>
      <c r="AP13" s="43"/>
      <c r="AQ13" s="43"/>
    </row>
    <row r="14" spans="1:43" ht="13.5" thickBot="1">
      <c r="A14" s="2" t="s">
        <v>22</v>
      </c>
      <c r="B14" s="64">
        <f t="shared" si="0"/>
        <v>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K14" s="43"/>
      <c r="AL14" s="43"/>
      <c r="AM14" s="43"/>
      <c r="AN14" s="43"/>
      <c r="AO14" s="43"/>
      <c r="AP14" s="43"/>
      <c r="AQ14" s="43"/>
    </row>
    <row r="15" spans="1:43" ht="13.5" thickBot="1">
      <c r="A15" s="2" t="s">
        <v>23</v>
      </c>
      <c r="B15" s="64">
        <f t="shared" si="0"/>
        <v>35.4</v>
      </c>
      <c r="C15" s="65">
        <v>5</v>
      </c>
      <c r="D15" s="65"/>
      <c r="E15" s="65">
        <v>7.4</v>
      </c>
      <c r="F15" s="65"/>
      <c r="G15" s="65"/>
      <c r="H15" s="65"/>
      <c r="I15" s="65"/>
      <c r="J15" s="65"/>
      <c r="K15" s="65"/>
      <c r="L15" s="65"/>
      <c r="M15" s="65"/>
      <c r="N15" s="65"/>
      <c r="O15" s="65">
        <v>4</v>
      </c>
      <c r="P15" s="65">
        <v>14</v>
      </c>
      <c r="Q15" s="65">
        <v>5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K15" s="43"/>
      <c r="AL15" s="43"/>
      <c r="AM15" s="43"/>
      <c r="AN15" s="43"/>
      <c r="AO15" s="43"/>
      <c r="AP15" s="43"/>
      <c r="AQ15" s="43"/>
    </row>
    <row r="16" spans="1:43" ht="13.5" thickBot="1">
      <c r="A16" s="2" t="s">
        <v>24</v>
      </c>
      <c r="B16" s="64">
        <f t="shared" si="0"/>
        <v>3.95</v>
      </c>
      <c r="C16" s="65"/>
      <c r="D16" s="65"/>
      <c r="E16" s="65">
        <v>0.95</v>
      </c>
      <c r="F16" s="65"/>
      <c r="G16" s="65"/>
      <c r="H16" s="65"/>
      <c r="I16" s="65"/>
      <c r="J16" s="65"/>
      <c r="K16" s="65"/>
      <c r="L16" s="65"/>
      <c r="M16" s="65"/>
      <c r="N16" s="65">
        <v>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K16" s="43"/>
      <c r="AL16" s="43"/>
      <c r="AM16" s="43"/>
      <c r="AN16" s="43"/>
      <c r="AO16" s="43"/>
      <c r="AP16" s="43"/>
      <c r="AQ16" s="43"/>
    </row>
    <row r="17" spans="1:43" ht="13.5" thickBot="1">
      <c r="A17" s="2" t="s">
        <v>54</v>
      </c>
      <c r="B17" s="64">
        <f t="shared" si="0"/>
        <v>50.25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>
        <v>26.25</v>
      </c>
      <c r="Q17" s="65">
        <v>24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K17" s="43"/>
      <c r="AL17" s="43"/>
      <c r="AM17" s="43"/>
      <c r="AN17" s="43"/>
      <c r="AO17" s="43"/>
      <c r="AP17" s="43"/>
      <c r="AQ17" s="43"/>
    </row>
    <row r="18" spans="1:43" ht="13.5" thickBot="1">
      <c r="A18" s="2" t="s">
        <v>25</v>
      </c>
      <c r="B18" s="64">
        <f t="shared" si="0"/>
        <v>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>
        <v>8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K18" s="43"/>
      <c r="AL18" s="43"/>
      <c r="AM18" s="43"/>
      <c r="AN18" s="43"/>
      <c r="AO18" s="43"/>
      <c r="AP18" s="43"/>
      <c r="AQ18" s="43"/>
    </row>
    <row r="19" spans="1:43" ht="13.5" thickBot="1">
      <c r="A19" s="2" t="s">
        <v>26</v>
      </c>
      <c r="B19" s="64">
        <f t="shared" si="0"/>
        <v>100.4</v>
      </c>
      <c r="C19" s="65">
        <v>100.4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K19" s="43"/>
      <c r="AL19" s="43"/>
      <c r="AM19" s="43"/>
      <c r="AN19" s="43"/>
      <c r="AO19" s="43"/>
      <c r="AP19" s="43"/>
      <c r="AQ19" s="43"/>
    </row>
    <row r="20" spans="1:43" ht="13.5" thickBot="1">
      <c r="A20" s="2" t="s">
        <v>27</v>
      </c>
      <c r="B20" s="64">
        <f t="shared" si="0"/>
        <v>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K20" s="43"/>
      <c r="AL20" s="43"/>
      <c r="AM20" s="43"/>
      <c r="AN20" s="43"/>
      <c r="AO20" s="43"/>
      <c r="AP20" s="43"/>
      <c r="AQ20" s="43"/>
    </row>
    <row r="21" spans="1:43" ht="13.5" thickBot="1">
      <c r="A21" s="2" t="s">
        <v>14</v>
      </c>
      <c r="B21" s="64">
        <f t="shared" si="0"/>
        <v>8.5</v>
      </c>
      <c r="C21" s="65">
        <v>8.5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K21" s="43"/>
      <c r="AL21" s="43"/>
      <c r="AM21" s="43"/>
      <c r="AN21" s="43"/>
      <c r="AO21" s="43"/>
      <c r="AP21" s="43"/>
      <c r="AQ21" s="43"/>
    </row>
    <row r="22" spans="1:43" ht="13.5" thickBot="1">
      <c r="A22" s="2" t="s">
        <v>28</v>
      </c>
      <c r="B22" s="64">
        <f t="shared" si="0"/>
        <v>47.5</v>
      </c>
      <c r="C22" s="65">
        <v>13.8</v>
      </c>
      <c r="D22" s="65"/>
      <c r="E22" s="65">
        <v>33.700000000000003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K22" s="43"/>
      <c r="AL22" s="43"/>
      <c r="AM22" s="43"/>
      <c r="AN22" s="43"/>
      <c r="AO22" s="43"/>
      <c r="AP22" s="43"/>
      <c r="AQ22" s="43"/>
    </row>
    <row r="23" spans="1:43" ht="13.5" thickBot="1">
      <c r="A23" s="2" t="s">
        <v>29</v>
      </c>
      <c r="B23" s="64">
        <f t="shared" si="0"/>
        <v>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K23" s="43"/>
      <c r="AL23" s="43"/>
      <c r="AM23" s="43"/>
      <c r="AN23" s="43"/>
      <c r="AO23" s="43"/>
      <c r="AP23" s="43"/>
      <c r="AQ23" s="43"/>
    </row>
    <row r="24" spans="1:43" ht="13.5" thickBot="1">
      <c r="A24" s="2" t="s">
        <v>30</v>
      </c>
      <c r="B24" s="64">
        <f t="shared" si="0"/>
        <v>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K24" s="43"/>
      <c r="AL24" s="43"/>
      <c r="AM24" s="43"/>
      <c r="AN24" s="43"/>
      <c r="AO24" s="43"/>
      <c r="AP24" s="43"/>
      <c r="AQ24" s="43"/>
    </row>
    <row r="25" spans="1:43" ht="13.5" thickBot="1">
      <c r="A25" s="2" t="s">
        <v>31</v>
      </c>
      <c r="B25" s="64">
        <f t="shared" si="0"/>
        <v>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K25" s="43"/>
      <c r="AL25" s="43"/>
      <c r="AM25" s="43"/>
      <c r="AN25" s="43"/>
      <c r="AO25" s="43"/>
      <c r="AP25" s="43"/>
      <c r="AQ25" s="43"/>
    </row>
    <row r="26" spans="1:43" ht="13.5" thickBot="1">
      <c r="A26" s="2" t="s">
        <v>32</v>
      </c>
      <c r="B26" s="64">
        <f t="shared" si="0"/>
        <v>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K26" s="43"/>
      <c r="AL26" s="43"/>
      <c r="AM26" s="43"/>
      <c r="AN26" s="43"/>
      <c r="AO26" s="43"/>
      <c r="AP26" s="43"/>
      <c r="AQ26" s="43"/>
    </row>
    <row r="27" spans="1:43" ht="13.5" thickBot="1">
      <c r="A27" s="2" t="s">
        <v>33</v>
      </c>
      <c r="B27" s="64">
        <f t="shared" si="0"/>
        <v>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K27" s="43"/>
      <c r="AL27" s="43"/>
      <c r="AM27" s="43"/>
      <c r="AN27" s="43"/>
      <c r="AO27" s="43"/>
      <c r="AP27" s="43"/>
      <c r="AQ27" s="43"/>
    </row>
    <row r="28" spans="1:43" ht="13.5" thickBot="1">
      <c r="A28" s="2" t="s">
        <v>34</v>
      </c>
      <c r="B28" s="64">
        <f t="shared" si="0"/>
        <v>0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K28" s="43"/>
      <c r="AL28" s="43"/>
      <c r="AM28" s="43"/>
      <c r="AN28" s="43"/>
      <c r="AO28" s="43"/>
      <c r="AP28" s="43"/>
      <c r="AQ28" s="43"/>
    </row>
    <row r="29" spans="1:43" ht="13.5" thickBot="1">
      <c r="A29" s="2" t="s">
        <v>35</v>
      </c>
      <c r="B29" s="64">
        <f t="shared" si="0"/>
        <v>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K29" s="43"/>
      <c r="AL29" s="43"/>
      <c r="AM29" s="43"/>
      <c r="AN29" s="43"/>
      <c r="AO29" s="43"/>
      <c r="AP29" s="43"/>
      <c r="AQ29" s="43"/>
    </row>
    <row r="30" spans="1:43" ht="13.5" thickBot="1">
      <c r="A30" s="2" t="s">
        <v>36</v>
      </c>
      <c r="B30" s="64">
        <f t="shared" si="0"/>
        <v>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K30" s="43"/>
      <c r="AL30" s="43"/>
      <c r="AM30" s="43"/>
      <c r="AN30" s="43"/>
      <c r="AO30" s="43"/>
      <c r="AP30" s="43"/>
      <c r="AQ30" s="43"/>
    </row>
    <row r="31" spans="1:43" ht="13.5" thickBot="1">
      <c r="A31" s="2" t="s">
        <v>37</v>
      </c>
      <c r="B31" s="64">
        <f t="shared" si="0"/>
        <v>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K31" s="43"/>
      <c r="AL31" s="43"/>
      <c r="AM31" s="43"/>
      <c r="AN31" s="43"/>
      <c r="AO31" s="43"/>
      <c r="AP31" s="43"/>
      <c r="AQ31" s="43"/>
    </row>
    <row r="32" spans="1:43" ht="13.5" thickBot="1">
      <c r="A32" s="2" t="s">
        <v>38</v>
      </c>
      <c r="B32" s="64">
        <f t="shared" si="0"/>
        <v>34.699999999999996</v>
      </c>
      <c r="C32" s="65">
        <v>7.2</v>
      </c>
      <c r="D32" s="65"/>
      <c r="E32" s="65">
        <v>7.1</v>
      </c>
      <c r="F32" s="65">
        <v>15</v>
      </c>
      <c r="G32" s="65"/>
      <c r="H32" s="65"/>
      <c r="I32" s="65"/>
      <c r="J32" s="65"/>
      <c r="K32" s="65"/>
      <c r="L32" s="65"/>
      <c r="M32" s="65"/>
      <c r="N32" s="65">
        <v>3</v>
      </c>
      <c r="O32" s="65">
        <v>2.4</v>
      </c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K32" s="43"/>
      <c r="AL32" s="43"/>
      <c r="AM32" s="43"/>
      <c r="AN32" s="43"/>
      <c r="AO32" s="43"/>
      <c r="AP32" s="43"/>
      <c r="AQ32" s="43"/>
    </row>
    <row r="33" spans="1:43" ht="13.5" thickBot="1">
      <c r="A33" s="2" t="s">
        <v>39</v>
      </c>
      <c r="B33" s="64">
        <f t="shared" si="0"/>
        <v>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K33" s="43"/>
      <c r="AL33" s="43"/>
      <c r="AM33" s="43"/>
      <c r="AN33" s="43"/>
      <c r="AO33" s="43"/>
      <c r="AP33" s="43"/>
      <c r="AQ33" s="43"/>
    </row>
    <row r="34" spans="1:43" ht="13.5" thickBot="1">
      <c r="A34" s="2" t="s">
        <v>40</v>
      </c>
      <c r="B34" s="64">
        <f t="shared" si="0"/>
        <v>0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K34" s="43"/>
      <c r="AL34" s="43"/>
      <c r="AM34" s="43"/>
      <c r="AN34" s="43"/>
      <c r="AO34" s="43"/>
      <c r="AP34" s="43"/>
      <c r="AQ34" s="43"/>
    </row>
    <row r="35" spans="1:43" ht="13.5" thickBot="1">
      <c r="A35" s="2" t="s">
        <v>41</v>
      </c>
      <c r="B35" s="64">
        <f t="shared" si="0"/>
        <v>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K35" s="43"/>
      <c r="AL35" s="43"/>
      <c r="AM35" s="43"/>
      <c r="AN35" s="43"/>
      <c r="AO35" s="43"/>
      <c r="AP35" s="43"/>
      <c r="AQ35" s="43"/>
    </row>
    <row r="36" spans="1:43" ht="13.5" thickBot="1">
      <c r="A36" s="2" t="s">
        <v>42</v>
      </c>
      <c r="B36" s="64">
        <f t="shared" si="0"/>
        <v>183</v>
      </c>
      <c r="C36" s="65"/>
      <c r="D36" s="65"/>
      <c r="E36" s="65"/>
      <c r="F36" s="65">
        <v>8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>
        <v>175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K36" s="43"/>
      <c r="AL36" s="43"/>
      <c r="AM36" s="43"/>
      <c r="AN36" s="43"/>
      <c r="AO36" s="43"/>
      <c r="AP36" s="43"/>
      <c r="AQ36" s="43"/>
    </row>
    <row r="37" spans="1:43" ht="13.5" thickBot="1">
      <c r="A37" s="2" t="s">
        <v>43</v>
      </c>
      <c r="B37" s="64">
        <f t="shared" si="0"/>
        <v>192.6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>
        <v>21.6</v>
      </c>
      <c r="P37" s="65"/>
      <c r="Q37" s="65">
        <v>171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K37" s="43"/>
      <c r="AL37" s="43"/>
      <c r="AM37" s="43"/>
      <c r="AN37" s="43"/>
      <c r="AO37" s="43"/>
      <c r="AP37" s="43"/>
      <c r="AQ37" s="43"/>
    </row>
    <row r="38" spans="1:43" ht="13.5" thickBot="1">
      <c r="A38" s="2" t="s">
        <v>44</v>
      </c>
      <c r="B38" s="64">
        <f t="shared" si="0"/>
        <v>79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>
        <v>59</v>
      </c>
      <c r="O38" s="65">
        <v>20</v>
      </c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K38" s="43"/>
      <c r="AL38" s="43"/>
      <c r="AM38" s="43"/>
      <c r="AN38" s="43"/>
      <c r="AO38" s="43"/>
      <c r="AP38" s="43"/>
      <c r="AQ38" s="43"/>
    </row>
    <row r="39" spans="1:43" ht="13.5" thickBot="1">
      <c r="A39" s="2" t="s">
        <v>45</v>
      </c>
      <c r="B39" s="64">
        <f t="shared" si="0"/>
        <v>18.399999999999999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>
        <v>8</v>
      </c>
      <c r="O39" s="65">
        <v>10.4</v>
      </c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K39" s="43"/>
      <c r="AL39" s="43"/>
      <c r="AM39" s="43"/>
      <c r="AN39" s="43"/>
      <c r="AO39" s="43"/>
      <c r="AP39" s="43"/>
      <c r="AQ39" s="43"/>
    </row>
    <row r="40" spans="1:43" ht="13.5" thickBot="1">
      <c r="A40" s="2" t="s">
        <v>46</v>
      </c>
      <c r="B40" s="64">
        <f t="shared" si="0"/>
        <v>15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>
        <v>15</v>
      </c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K40" s="43"/>
      <c r="AL40" s="43"/>
      <c r="AM40" s="43"/>
      <c r="AN40" s="43"/>
      <c r="AO40" s="43"/>
      <c r="AP40" s="43"/>
      <c r="AQ40" s="43"/>
    </row>
    <row r="41" spans="1:43" ht="13.5" thickBot="1">
      <c r="A41" s="2" t="s">
        <v>47</v>
      </c>
      <c r="B41" s="64">
        <f t="shared" si="0"/>
        <v>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K41" s="43"/>
      <c r="AL41" s="43"/>
      <c r="AM41" s="43"/>
      <c r="AN41" s="43"/>
      <c r="AO41" s="43"/>
      <c r="AP41" s="43"/>
      <c r="AQ41" s="43"/>
    </row>
    <row r="42" spans="1:43" ht="13.5" thickBot="1">
      <c r="A42" s="2" t="s">
        <v>48</v>
      </c>
      <c r="B42" s="64">
        <f t="shared" si="0"/>
        <v>0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K42" s="43"/>
      <c r="AL42" s="43"/>
      <c r="AM42" s="43"/>
      <c r="AN42" s="43"/>
      <c r="AO42" s="43"/>
      <c r="AP42" s="43"/>
      <c r="AQ42" s="43"/>
    </row>
    <row r="43" spans="1:43" ht="13.5" thickBot="1">
      <c r="A43" s="2" t="s">
        <v>49</v>
      </c>
      <c r="B43" s="64">
        <f t="shared" si="0"/>
        <v>40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>
        <v>40</v>
      </c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K43" s="43"/>
      <c r="AL43" s="43"/>
      <c r="AM43" s="43"/>
      <c r="AN43" s="43"/>
      <c r="AO43" s="43"/>
      <c r="AP43" s="43"/>
      <c r="AQ43" s="43"/>
    </row>
    <row r="44" spans="1:43" ht="13.5" thickBot="1">
      <c r="A44" s="2" t="s">
        <v>2</v>
      </c>
      <c r="B44" s="64">
        <f t="shared" si="0"/>
        <v>66.25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>
        <v>16.25</v>
      </c>
      <c r="Q44" s="65"/>
      <c r="R44" s="65"/>
      <c r="S44" s="65">
        <v>50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K44" s="43"/>
      <c r="AL44" s="43"/>
      <c r="AM44" s="43"/>
      <c r="AN44" s="43"/>
      <c r="AO44" s="43"/>
      <c r="AP44" s="43"/>
      <c r="AQ44" s="43"/>
    </row>
    <row r="45" spans="1:43" ht="13.5" thickBot="1">
      <c r="A45" s="2" t="s">
        <v>3</v>
      </c>
      <c r="B45" s="64">
        <f t="shared" si="0"/>
        <v>40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>
        <v>40</v>
      </c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K45" s="43"/>
      <c r="AL45" s="43"/>
      <c r="AM45" s="43"/>
      <c r="AN45" s="43"/>
      <c r="AO45" s="43"/>
      <c r="AP45" s="43"/>
      <c r="AQ45" s="43"/>
    </row>
    <row r="46" spans="1:43" ht="13.5" thickBot="1">
      <c r="A46" s="2" t="s">
        <v>50</v>
      </c>
      <c r="B46" s="64">
        <f t="shared" si="0"/>
        <v>0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K46" s="43"/>
      <c r="AL46" s="43"/>
      <c r="AM46" s="43"/>
      <c r="AN46" s="43"/>
      <c r="AO46" s="43"/>
      <c r="AP46" s="43"/>
      <c r="AQ46" s="43"/>
    </row>
    <row r="47" spans="1:43" ht="13.5" thickBot="1">
      <c r="A47" s="2" t="s">
        <v>51</v>
      </c>
      <c r="B47" s="64">
        <f t="shared" si="0"/>
        <v>1</v>
      </c>
      <c r="C47" s="65"/>
      <c r="D47" s="65"/>
      <c r="E47" s="65"/>
      <c r="F47" s="65">
        <v>1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K47" s="43"/>
      <c r="AL47" s="43"/>
      <c r="AM47" s="43"/>
      <c r="AN47" s="43"/>
      <c r="AO47" s="43"/>
      <c r="AP47" s="43"/>
      <c r="AQ47" s="43"/>
    </row>
    <row r="48" spans="1:43" ht="13.5" thickBot="1">
      <c r="A48" s="2" t="s">
        <v>52</v>
      </c>
      <c r="B48" s="64">
        <f t="shared" si="0"/>
        <v>6.4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>
        <v>6.4</v>
      </c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K48" s="43"/>
      <c r="AL48" s="43"/>
      <c r="AM48" s="43"/>
      <c r="AN48" s="43"/>
      <c r="AO48" s="43"/>
      <c r="AP48" s="43"/>
      <c r="AQ48" s="43"/>
    </row>
    <row r="49" spans="1:43" ht="13.5" thickBot="1">
      <c r="A49" s="2" t="s">
        <v>13</v>
      </c>
      <c r="B49" s="64">
        <f t="shared" si="0"/>
        <v>200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>
        <v>200</v>
      </c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K49" s="43"/>
      <c r="AL49" s="43"/>
      <c r="AM49" s="43"/>
      <c r="AN49" s="43"/>
      <c r="AO49" s="43"/>
      <c r="AP49" s="43"/>
      <c r="AQ49" s="43"/>
    </row>
    <row r="50" spans="1:43" ht="13.5" thickBot="1">
      <c r="A50" s="2" t="s">
        <v>53</v>
      </c>
      <c r="B50" s="64">
        <f t="shared" si="0"/>
        <v>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K50" s="43"/>
      <c r="AL50" s="43"/>
      <c r="AM50" s="43"/>
      <c r="AN50" s="43"/>
      <c r="AO50" s="43"/>
      <c r="AP50" s="43"/>
      <c r="AQ50" s="43"/>
    </row>
    <row r="51" spans="1:43" ht="26.25" thickBot="1">
      <c r="A51" s="2" t="s">
        <v>115</v>
      </c>
      <c r="B51" s="64">
        <f t="shared" si="0"/>
        <v>181</v>
      </c>
      <c r="C51" s="2"/>
      <c r="D51" s="2">
        <v>181</v>
      </c>
      <c r="E51" s="2"/>
      <c r="F51" s="2"/>
      <c r="G51" s="2"/>
      <c r="H51" s="2"/>
      <c r="I51" s="2"/>
      <c r="J51" s="65"/>
      <c r="K51" s="2"/>
      <c r="L51" s="6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5"/>
      <c r="AI51" s="2"/>
    </row>
  </sheetData>
  <mergeCells count="20">
    <mergeCell ref="AA4:AH4"/>
    <mergeCell ref="C4:J4"/>
    <mergeCell ref="K4:L4"/>
    <mergeCell ref="N4:V4"/>
    <mergeCell ref="W4:X4"/>
    <mergeCell ref="AC1:AI1"/>
    <mergeCell ref="B1:J1"/>
    <mergeCell ref="K1:L1"/>
    <mergeCell ref="N1:V1"/>
    <mergeCell ref="W1:X1"/>
    <mergeCell ref="AB2:AH2"/>
    <mergeCell ref="B3:J3"/>
    <mergeCell ref="K3:L3"/>
    <mergeCell ref="N3:V3"/>
    <mergeCell ref="W3:X3"/>
    <mergeCell ref="AB3:AH3"/>
    <mergeCell ref="B2:J2"/>
    <mergeCell ref="K2:L2"/>
    <mergeCell ref="N2:V2"/>
    <mergeCell ref="W2:X2"/>
  </mergeCells>
  <phoneticPr fontId="4" type="noConversion"/>
  <pageMargins left="0.17" right="0.16" top="0.19" bottom="0.19" header="0.16" footer="0.15"/>
  <pageSetup paperSize="9" scale="70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1"/>
  <sheetViews>
    <sheetView zoomScale="75" workbookViewId="0">
      <selection activeCell="E5" sqref="E5"/>
    </sheetView>
  </sheetViews>
  <sheetFormatPr defaultRowHeight="12.75"/>
  <cols>
    <col min="1" max="1" width="24.140625" customWidth="1"/>
    <col min="2" max="3" width="6.7109375" customWidth="1"/>
    <col min="4" max="4" width="5.85546875" customWidth="1"/>
    <col min="5" max="6" width="5.42578125" customWidth="1"/>
    <col min="7" max="7" width="6" customWidth="1"/>
    <col min="8" max="8" width="5.85546875" customWidth="1"/>
    <col min="9" max="9" width="4.42578125" customWidth="1"/>
    <col min="10" max="10" width="1.28515625" customWidth="1"/>
    <col min="11" max="11" width="6.7109375" customWidth="1"/>
    <col min="12" max="12" width="5.7109375" customWidth="1"/>
    <col min="13" max="13" width="1.140625" customWidth="1"/>
    <col min="14" max="14" width="5.28515625" customWidth="1"/>
    <col min="15" max="15" width="5.42578125" customWidth="1"/>
    <col min="16" max="16" width="5.85546875" customWidth="1"/>
    <col min="17" max="17" width="6.5703125" customWidth="1"/>
    <col min="18" max="18" width="6.42578125" customWidth="1"/>
    <col min="19" max="19" width="6" customWidth="1"/>
    <col min="20" max="20" width="5.7109375" customWidth="1"/>
    <col min="21" max="21" width="2.7109375" customWidth="1"/>
    <col min="22" max="22" width="1" customWidth="1"/>
    <col min="23" max="23" width="6.28515625" customWidth="1"/>
    <col min="24" max="24" width="5.7109375" customWidth="1"/>
    <col min="25" max="25" width="6.140625" customWidth="1"/>
    <col min="26" max="26" width="5.5703125" customWidth="1"/>
    <col min="27" max="27" width="5.42578125" customWidth="1"/>
    <col min="28" max="28" width="0.5703125" customWidth="1"/>
    <col min="29" max="29" width="6" customWidth="1"/>
    <col min="30" max="32" width="6.140625" customWidth="1"/>
    <col min="33" max="33" width="1" customWidth="1"/>
    <col min="34" max="34" width="6" customWidth="1"/>
  </cols>
  <sheetData>
    <row r="1" spans="1:35" ht="13.5" thickBot="1">
      <c r="A1" s="1" t="s">
        <v>75</v>
      </c>
      <c r="B1" s="83" t="s">
        <v>89</v>
      </c>
      <c r="C1" s="82"/>
      <c r="D1" s="82"/>
      <c r="E1" s="82"/>
      <c r="F1" s="82"/>
      <c r="G1" s="82"/>
      <c r="H1" s="82"/>
      <c r="I1" s="82"/>
      <c r="J1" s="84"/>
      <c r="K1" s="83"/>
      <c r="L1" s="84"/>
      <c r="M1" s="39"/>
      <c r="N1" s="83" t="s">
        <v>90</v>
      </c>
      <c r="O1" s="82"/>
      <c r="P1" s="82"/>
      <c r="Q1" s="82"/>
      <c r="R1" s="82"/>
      <c r="S1" s="82"/>
      <c r="T1" s="82"/>
      <c r="U1" s="82"/>
      <c r="V1" s="84"/>
      <c r="W1" s="83">
        <v>15</v>
      </c>
      <c r="X1" s="82"/>
      <c r="Y1" s="39"/>
      <c r="Z1" s="38"/>
      <c r="AA1" s="37"/>
      <c r="AB1" s="82"/>
      <c r="AC1" s="82"/>
      <c r="AD1" s="82"/>
      <c r="AE1" s="82"/>
      <c r="AF1" s="82"/>
      <c r="AG1" s="82"/>
      <c r="AH1" s="82"/>
      <c r="AI1" s="41"/>
    </row>
    <row r="2" spans="1:35" ht="26.25" thickBot="1">
      <c r="A2" s="1" t="s">
        <v>4</v>
      </c>
      <c r="B2" s="77">
        <f>B3*100/2350</f>
        <v>20.272651063829784</v>
      </c>
      <c r="C2" s="73"/>
      <c r="D2" s="73"/>
      <c r="E2" s="73"/>
      <c r="F2" s="73"/>
      <c r="G2" s="73"/>
      <c r="H2" s="73"/>
      <c r="I2" s="73"/>
      <c r="J2" s="78"/>
      <c r="K2" s="77">
        <f>K3*100/B7</f>
        <v>0</v>
      </c>
      <c r="L2" s="78"/>
      <c r="M2" s="10"/>
      <c r="N2" s="77">
        <f>N3*100/2350</f>
        <v>33.768964893617017</v>
      </c>
      <c r="O2" s="73"/>
      <c r="P2" s="73"/>
      <c r="Q2" s="73"/>
      <c r="R2" s="73"/>
      <c r="S2" s="73"/>
      <c r="T2" s="73"/>
      <c r="U2" s="73"/>
      <c r="V2" s="78"/>
      <c r="W2" s="77">
        <f>W3*100/1970</f>
        <v>0</v>
      </c>
      <c r="X2" s="73"/>
      <c r="Y2" s="10"/>
      <c r="Z2" s="9"/>
      <c r="AA2" s="73"/>
      <c r="AB2" s="73"/>
      <c r="AC2" s="73"/>
      <c r="AD2" s="73"/>
      <c r="AE2" s="73"/>
      <c r="AF2" s="73"/>
      <c r="AG2" s="73"/>
      <c r="AH2" s="10">
        <f>AH3*100/B7</f>
        <v>0</v>
      </c>
    </row>
    <row r="3" spans="1:35" ht="13.5" thickBot="1">
      <c r="A3" s="2" t="s">
        <v>5</v>
      </c>
      <c r="B3" s="74">
        <f>C7+D7+E7+F7+G7+H7+I7+J7</f>
        <v>476.40729999999996</v>
      </c>
      <c r="C3" s="75"/>
      <c r="D3" s="75"/>
      <c r="E3" s="75"/>
      <c r="F3" s="75"/>
      <c r="G3" s="75"/>
      <c r="H3" s="75"/>
      <c r="I3" s="75"/>
      <c r="J3" s="76"/>
      <c r="K3" s="74">
        <f>K7+L7</f>
        <v>0</v>
      </c>
      <c r="L3" s="76"/>
      <c r="M3" s="11"/>
      <c r="N3" s="74">
        <f>N7+O7+P7+Q7+R7+S7+T7+U7+V7</f>
        <v>793.57067499999994</v>
      </c>
      <c r="O3" s="75"/>
      <c r="P3" s="75"/>
      <c r="Q3" s="75"/>
      <c r="R3" s="75"/>
      <c r="S3" s="75"/>
      <c r="T3" s="75"/>
      <c r="U3" s="75"/>
      <c r="V3" s="76"/>
      <c r="W3" s="77">
        <f>W7+X7+Y7+Z7</f>
        <v>0</v>
      </c>
      <c r="X3" s="75"/>
      <c r="Y3" s="11"/>
      <c r="Z3" s="12"/>
      <c r="AA3" s="75"/>
      <c r="AB3" s="75"/>
      <c r="AC3" s="75"/>
      <c r="AD3" s="75"/>
      <c r="AE3" s="75"/>
      <c r="AF3" s="75"/>
      <c r="AG3" s="75"/>
      <c r="AH3" s="11">
        <f>AH7</f>
        <v>0</v>
      </c>
    </row>
    <row r="4" spans="1:35" ht="13.5" customHeight="1" thickBot="1">
      <c r="A4" s="2"/>
      <c r="B4" s="3"/>
      <c r="C4" s="79" t="s">
        <v>1</v>
      </c>
      <c r="D4" s="80"/>
      <c r="E4" s="80"/>
      <c r="F4" s="80"/>
      <c r="G4" s="80"/>
      <c r="H4" s="80"/>
      <c r="I4" s="80"/>
      <c r="J4" s="81"/>
      <c r="K4" s="79" t="s">
        <v>6</v>
      </c>
      <c r="L4" s="81"/>
      <c r="M4" s="3"/>
      <c r="N4" s="79" t="s">
        <v>7</v>
      </c>
      <c r="O4" s="80"/>
      <c r="P4" s="80"/>
      <c r="Q4" s="80"/>
      <c r="R4" s="80"/>
      <c r="S4" s="80"/>
      <c r="T4" s="80"/>
      <c r="U4" s="80"/>
      <c r="V4" s="81"/>
      <c r="W4" s="79" t="s">
        <v>8</v>
      </c>
      <c r="X4" s="80"/>
      <c r="Y4" s="53"/>
      <c r="Z4" s="80" t="s">
        <v>9</v>
      </c>
      <c r="AA4" s="80"/>
      <c r="AB4" s="80"/>
      <c r="AC4" s="80"/>
      <c r="AD4" s="80"/>
      <c r="AE4" s="80"/>
      <c r="AF4" s="80"/>
      <c r="AG4" s="80"/>
      <c r="AH4" s="3" t="s">
        <v>10</v>
      </c>
    </row>
    <row r="5" spans="1:35" ht="143.25" customHeight="1" thickBot="1">
      <c r="A5" s="2" t="s">
        <v>82</v>
      </c>
      <c r="B5" s="5" t="s">
        <v>11</v>
      </c>
      <c r="C5" s="72" t="s">
        <v>138</v>
      </c>
      <c r="D5" s="72" t="s">
        <v>107</v>
      </c>
      <c r="E5" s="72" t="s">
        <v>96</v>
      </c>
      <c r="F5" s="40" t="s">
        <v>2</v>
      </c>
      <c r="G5" s="5" t="s">
        <v>71</v>
      </c>
      <c r="H5" s="5"/>
      <c r="I5" s="5"/>
      <c r="J5" s="27"/>
      <c r="K5" s="5"/>
      <c r="L5" s="5"/>
      <c r="M5" s="27"/>
      <c r="N5" s="72" t="s">
        <v>95</v>
      </c>
      <c r="O5" s="72" t="s">
        <v>122</v>
      </c>
      <c r="P5" s="72" t="s">
        <v>123</v>
      </c>
      <c r="Q5" s="72" t="s">
        <v>130</v>
      </c>
      <c r="R5" s="5" t="s">
        <v>13</v>
      </c>
      <c r="S5" s="5" t="s">
        <v>2</v>
      </c>
      <c r="T5" s="5" t="s">
        <v>102</v>
      </c>
      <c r="U5" s="5"/>
      <c r="V5" s="27"/>
      <c r="W5" s="5"/>
      <c r="X5" s="5"/>
      <c r="Y5" s="35"/>
      <c r="Z5" s="40"/>
      <c r="AA5" s="40"/>
      <c r="AB5" s="5"/>
      <c r="AC5" s="5"/>
      <c r="AD5" s="5"/>
      <c r="AE5" s="40"/>
      <c r="AF5" s="40"/>
      <c r="AG5" s="50"/>
      <c r="AH5" s="5"/>
    </row>
    <row r="6" spans="1:35" ht="13.5" thickBot="1">
      <c r="A6" s="2" t="s">
        <v>15</v>
      </c>
      <c r="B6" s="24"/>
      <c r="C6" s="4">
        <v>150</v>
      </c>
      <c r="D6" s="4">
        <v>40</v>
      </c>
      <c r="E6" s="4">
        <v>200</v>
      </c>
      <c r="F6" s="4">
        <v>20</v>
      </c>
      <c r="G6" s="4">
        <v>10</v>
      </c>
      <c r="H6" s="4"/>
      <c r="I6" s="4"/>
      <c r="J6" s="28"/>
      <c r="K6" s="4"/>
      <c r="L6" s="4"/>
      <c r="M6" s="28"/>
      <c r="N6" s="4">
        <v>60</v>
      </c>
      <c r="O6" s="4">
        <v>200</v>
      </c>
      <c r="P6" s="4">
        <v>100</v>
      </c>
      <c r="Q6" s="4">
        <v>150</v>
      </c>
      <c r="R6" s="4">
        <v>200</v>
      </c>
      <c r="S6" s="4">
        <v>50</v>
      </c>
      <c r="T6" s="4">
        <v>40</v>
      </c>
      <c r="U6" s="4"/>
      <c r="V6" s="28"/>
      <c r="W6" s="4"/>
      <c r="X6" s="4"/>
      <c r="Y6" s="24"/>
      <c r="Z6" s="4"/>
      <c r="AA6" s="4"/>
      <c r="AB6" s="4"/>
      <c r="AC6" s="4"/>
      <c r="AD6" s="4"/>
      <c r="AE6" s="4"/>
      <c r="AF6" s="4"/>
      <c r="AG6" s="31"/>
      <c r="AH6" s="4"/>
    </row>
    <row r="7" spans="1:35" ht="13.5" thickBot="1">
      <c r="A7" s="2" t="s">
        <v>0</v>
      </c>
      <c r="B7" s="7">
        <f>C7+D7+E7+F7+G7+H7+I7+J7+K7+L7+M7+N7+O7+P7+Q7+R7+S7+T7+U7+V7+W7+X7+Y7+Z7+AA7+AB7+AC7+AD7+AE7+AF7+AH7</f>
        <v>1269.977975</v>
      </c>
      <c r="C7" s="8">
        <f t="shared" ref="C7:I7" si="0">C8*1.1928+C9*1.1928+C10*1.3875+C11*1.1928+C12*3.01+C13*3.01+C14*0.783+C15*7.09+C16*8.99+C17*0.52+C18*1.18+C19*1.56+C20*3.6+C21*1.3659+C22*3.34+C23*3.68+C24*3.314+C25*3.314+C26*3.314+C27*3.314+C28*3.314+C29*3.314+C30*3.314+C31*3.314+C32*3.74+C34*3.558+C35*0.466+C36*0.396+C37*0.56+C38*0.2744+C39*0.2744+C40*0.2744+C41*0.2744+C42*0.2744+C43*0.2744+C44*2.26+C45*1.81+C46*3.78+C49*0.31+C50*3.69</f>
        <v>200.39</v>
      </c>
      <c r="D7" s="8">
        <f t="shared" si="0"/>
        <v>64.197299999999998</v>
      </c>
      <c r="E7" s="8">
        <f t="shared" si="0"/>
        <v>131.04000000000002</v>
      </c>
      <c r="F7" s="8">
        <f t="shared" si="0"/>
        <v>45.199999999999996</v>
      </c>
      <c r="G7" s="8">
        <f>G8*1.1928+G9*1.1928+G10*1.3875+G11*1.1928+G12*3.01+G13*3.01+G14*0.783+G15*7.09+G16*8.99+G17*0.52+G18*1.18+G19*1.56+G20*3.6+G21*1.3659+G22*3.34+G23*3.68+G24*3.314+G25*3.314+G26*3.314+G27*3.314+G28*3.314+G29*3.314+G30*3.314+G31*3.314+G32*3.74+G34*3.558+G35*0.466+G36*0.396+G37*0.56+G38*0.2744+G39*0.2744+G40*0.2744+G41*0.2744+G42*0.2744+G43*0.2744+G44*2.26+G45*1.81+G46*3.78+G49*0.31+G50*3.69</f>
        <v>35.58</v>
      </c>
      <c r="H7" s="8">
        <f t="shared" si="0"/>
        <v>0</v>
      </c>
      <c r="I7" s="8">
        <f t="shared" si="0"/>
        <v>0</v>
      </c>
      <c r="J7" s="29"/>
      <c r="K7" s="8">
        <f>K8*1.1928+K9*1.1928+K10*1.3875+K11*1.1928+K12*3.01+K13*3.01+K14*0.783+K15*7.09+K16*8.99+K17*0.52+K18*1.18+K19*1.56+K20*3.6+K21*1.3659+K22*3.34+K23*3.68+K24*3.314+K25*3.314+K26*3.314+K27*3.314+K28*3.314+K29*3.314+K30*3.314+K31*3.314+K32*3.74+K34*3.558+K35*0.466+K36*0.396+K37*0.56+K38*0.2744+K39*0.2744+K40*0.2744+K41*0.2744+K42*0.2744+K43*0.2744+K44*2.26+K45*1.81+K46*3.78+K49*0.31+K50*3.69</f>
        <v>0</v>
      </c>
      <c r="L7" s="8">
        <f>L8*1.1928+L9*1.1928+L10*1.3875+L11*1.1928+L12*3.01+L13*3.01+L14*0.783+L15*7.09+L16*8.99+L17*0.52+L18*1.18+L19*1.56+L20*3.6+L21*1.3659+L22*3.34+L23*3.68+L24*3.314+L25*3.314+L26*3.314+L27*3.314+L28*3.314+L29*3.314+L30*3.314+L31*3.314+L32*3.74+L34*3.558+L35*0.466+L36*0.396+L37*0.56+L38*0.2744+L39*0.2744+L40*0.2744+L41*0.2744+L42*0.2744+L43*0.2744+L44*2.26+L45*1.81+L46*3.78+L49*0.31+L50*3.69</f>
        <v>0</v>
      </c>
      <c r="M7" s="29"/>
      <c r="N7" s="8">
        <f>N8*1.1928+N9*1.1928+N10*1.3875+N11*1.1928+N12*3.01+N13*3.01+N14*0.783+N15*7.09+N16*8.99+N17*0.52+N18*1.18+N19*1.56+N20*3.6+N21*1.3659+N22*3.34+N23*3.68+N24*3.314+N25*3.314+N26*3.314+N27*3.314+N28*3.314+N29*3.314+N30*3.314+N31*3.314+N32*3.74+N34*3.558+N35*0.466+N36*0.396+N37*0.56+N38*0.2744+N39*0.2744+N40*0.2744+N41*0.2744+N42*0.2744+N43*0.2744+N44*2.26+N45*1.81+N46*3.78+N49*0.31+N50*3.69</f>
        <v>104.38759999999999</v>
      </c>
      <c r="O7" s="8">
        <f t="shared" ref="O7:T7" si="1">O8*1.1928+O9*1.1928+O10*1.3875+O11*1.1928+O12*3.01+O13*3.01+O14*0.783+O15*7.09+O16*8.99+O17*0.52+O18*1.18+O19*1.56+O20*3.6+O21*1.3659+O22*3.34+O23*3.68+O24*3.314+O25*3.314+O26*3.314+O27*3.314+O28*3.314+O29*3.314+O30*3.314+O31*3.314+O32*3.74+O34*3.558+O35*0.466+O36*0.396+O37*0.56+O38*0.2744+O39*0.2744+O40*0.2744+O41*0.2744+O42*0.2744+O43*0.2744+O44*2.26+O45*1.81+O46*3.78+O49*0.31+O50*3.69</f>
        <v>90.011619999999994</v>
      </c>
      <c r="P7" s="8">
        <f t="shared" si="1"/>
        <v>229.35177499999998</v>
      </c>
      <c r="Q7" s="8">
        <f t="shared" si="1"/>
        <v>122.41967999999999</v>
      </c>
      <c r="R7" s="8">
        <f>R8*1.1928+R9*1.1928+R10*1.3875+R11*1.1928+R12*3.01+R13*3.01+R14*0.783+R15*7.09+R16*8.99+R17*0.52+R18*1.18+R19*1.56+R20*3.6+R21*1.3659+R22*3.34+R23*3.68+R24*3.314+R25*3.314+R26*3.314+R27*3.314+R28*3.314+R29*3.314+R30*3.314+R31*3.314+R32*3.74+R34*3.558+R35*0.466+R36*0.396+R37*0.56+R38*0.2744+R39*0.2744+R40*0.2744+R41*0.2744+R42*0.2744+R43*0.2744+R44*2.26+R45*1.81+R46*3.78+R49*0.31+R50*3.69</f>
        <v>62</v>
      </c>
      <c r="S7" s="8">
        <f t="shared" si="1"/>
        <v>112.99999999999999</v>
      </c>
      <c r="T7" s="8">
        <f t="shared" si="1"/>
        <v>72.400000000000006</v>
      </c>
      <c r="U7" s="8"/>
      <c r="V7" s="29"/>
      <c r="W7" s="8"/>
      <c r="X7" s="8"/>
      <c r="Y7" s="8">
        <f>Y8*1.1928+Y9*1.1928+Y10*1.3875+Y11*1.1928+Y12*3.01+Y13*3.01+Y14*0.783+Y15*7.09+Y16*8.99+Y17*0.52+Y18*1.18+Y19*1.56+Y20*3.6+Y21*1.3659+Y22*3.34+Y23*3.68+Y24*3.314+Y25*3.314+Y26*3.314+Y27*3.314+Y28*3.314+Y29*3.314+Y30*3.314+Y31*3.314+Y32*3.74+Y34*3.558+Y35*0.466+Y36*0.396+Y37*0.56+Y38*0.2744+Y39*0.2744+Y40*0.2744+Y41*0.2744+Y42*0.2744+Y43*0.2744+Y44*2.26+Y45*1.81+Y46*3.78+Y49*0.31+Y50*3.69</f>
        <v>0</v>
      </c>
      <c r="Z7" s="8">
        <f>Z8*1.1928+Z9*1.1928+Z10*1.3875+Z11*1.1928+Z12*3.01+Z13*3.01+Z14*0.783+Z15*7.09+Z16*8.99+Z17*0.52+Z18*1.18+Z19*1.56+Z20*3.6+Z21*1.3659+Z22*3.34+Z23*3.68+Z24*3.314+Z25*3.314+Z26*3.314+Z27*3.314+Z28*3.314+Z29*3.314+Z30*3.314+Z31*3.314+Z32*3.74+Z34*3.558+Z35*0.466+Z36*0.396+Z37*0.56+Z38*0.2744+Z39*0.2744+Z40*0.2744+Z41*0.2744+Z42*0.2744+Z43*0.2744+Z44*2.26+Z45*1.81+Z46*3.78+Z49*0.31+Z50*3.69</f>
        <v>0</v>
      </c>
      <c r="AA7" s="8">
        <f>AA8*1.1928+AA9*1.1928+AA10*1.3875+AA11*1.1928+AA12*3.01+AA13*3.01+AA14*0.783+AA15*7.09+AA16*8.99+AA17*0.52+AA18*1.18+AA19*1.56+AA20*3.6+AA21*1.3659+AA22*3.34+AA23*3.68+AA24*3.314+AA25*3.314+AA26*3.314+AA27*3.314+AA28*3.314+AA29*3.314+AA30*3.314+AA31*3.314+AA32*3.74+AA34*3.558+AA35*0.466+AA36*0.396+AA37*0.56+AA38*0.2744+AA39*0.2744+AA40*0.2744+AA41*0.2744+AA42*0.2744+AA43*0.2744+AA44*2.26+AA45*1.81+AA46*3.78+AA49*0.31+AA50*3.69</f>
        <v>0</v>
      </c>
      <c r="AB7" s="8">
        <f>AB8*1.1928+AB9*1.1928+AB10*1.3875+AB12*3.01+AB13*3.01+AB14*1.363+AB15*7.09+AB16*8.99+AB17*0.52+AB18*2.06+AB19*1.59+AB20*3.6+AB21*1.6095+AB22*3.34+AB23*3.68+AB24*3.314+AB25*3.314+AB26*3.314+AB27*3.314+AB28*3.314+AB29*3.314+AB30*3.314+AB31*3.314+AB32*3.79+AB34*3.558+AB35*0.466+AB36*0.396+AB37*0.56+AB38*0.27+AB39*0.27+AB40*0.27+AB41*0.27+AB42*0.27+AB43*0.27+AB44*2.62+AB45*1.81+AB46*3.78+AB49*0.31+AB50*3.69</f>
        <v>0</v>
      </c>
      <c r="AC7" s="8">
        <f>AC8*1.1928+AC9*1.1928+AC10*1.3875+AC11*1.1928+AC12*3.01+AC13*3.01+AC14*0.783+AC15*7.09+AC16*8.99+AC17*0.52+AC18*1.18+AC19*1.56+AC20*3.6+AC21*1.3659+AC22*3.34+AC23*3.68+AC24*3.314+AC25*3.314+AC26*3.314+AC27*3.314+AC28*3.314+AC29*3.314+AC30*3.314+AC31*3.314+AC32*3.74+AC34*3.558+AC35*0.466+AC36*0.396+AC37*0.56+AC38*0.2744+AC39*0.2744+AC40*0.2744+AC41*0.2744+AC42*0.2744+AC43*0.2744+AC44*2.26+AC45*1.81+AC46*3.78+AC49*0.31+AC50*3.69</f>
        <v>0</v>
      </c>
      <c r="AD7" s="8">
        <f>AD8*1.1928+AD9*1.1928+AD10*1.3875+AD11*1.1928+AD12*3.01+AD13*3.01+AD14*0.783+AD15*7.09+AD16*8.99+AD17*0.52+AD18*1.18+AD19*1.56+AD20*3.6+AD21*1.3659+AD22*3.34+AD23*3.68+AD24*3.314+AD25*3.314+AD26*3.314+AD27*3.314+AD28*3.314+AD29*3.314+AD30*3.314+AD31*3.314+AD32*3.74+AD34*3.558+AD35*0.466+AD36*0.396+AD37*0.56+AD38*0.2744+AD39*0.2744+AD40*0.2744+AD41*0.2744+AD42*0.2744+AD43*0.2744+AD44*2.26+AD45*1.81+AD46*3.78+AD49*0.31+AD50*3.69</f>
        <v>0</v>
      </c>
      <c r="AE7" s="8">
        <f>AE8*1.1928+AE9*1.1928+AE10*1.3875+AE11*1.1928+AE12*3.01+AE13*3.01+AE14*0.783+AE15*7.09+AE16*8.99+AE17*0.52+AE18*1.18+AE19*1.56+AE20*3.6+AE21*1.3659+AE22*3.34+AE23*3.68+AE24*3.314+AE25*3.314+AE26*3.314+AE27*3.314+AE28*3.314+AE29*3.314+AE30*3.314+AE31*3.314+AE32*3.74+AE34*3.558+AE35*0.466+AE36*0.396+AE37*0.56+AE38*0.2744+AE39*0.2744+AE40*0.2744+AE41*0.2744+AE42*0.2744+AE43*0.2744+AE44*2.26+AE45*1.81+AE46*3.78+AE49*0.31+AE50*3.69</f>
        <v>0</v>
      </c>
      <c r="AF7" s="8">
        <f>AF8*1.1928+AF9*1.1928+AF10*1.3875+AF11*1.1928+AF12*3.01+AF13*3.01+AF14*0.783+AF15*7.09+AF16*8.99+AF17*0.52+AF18*1.18+AF19*1.56+AF20*3.6+AF21*1.3659+AF22*3.34+AF23*3.68+AF24*3.314+AF25*3.314+AF26*3.314+AF27*3.314+AF28*3.314+AF29*3.314+AF30*3.314+AF31*3.314+AF32*3.74+AF34*3.558+AF35*0.466+AF36*0.396+AF37*0.56+AF38*0.2744+AF39*0.2744+AF40*0.2744+AF41*0.2744+AF42*0.2744+AF43*0.2744+AF44*2.26+AF45*1.81+AF46*3.78+AF49*0.31+AF50*3.69</f>
        <v>0</v>
      </c>
      <c r="AG7" s="31"/>
      <c r="AH7" s="8">
        <f>AH8*1.1928+AH9*1.1928+AH10*1.3875+AH11*1.1928+AH12*3.01+AH13*3.01+AH14*0.783+AH15*7.09+AH16*8.99+AH17*0.52+AH18*1.18+AH19*1.56+AH20*3.6+AH21*1.3659+AH22*3.34+AH23*3.68+AH24*3.314+AH25*3.314+AH26*3.314+AH27*3.314+AH28*3.314+AH29*3.314+AH30*3.314+AH31*3.314+AH32*3.74+AH34*3.558+AH35*0.466+AH36*0.396+AH37*0.56+AH38*0.2744+AH39*0.2744+AH40*0.2744+AH41*0.2744+AH42*0.2744+AH43*0.2744+AH44*2.26+AH45*1.81+AH46*3.78+AH49*0.31+AH50*3.69</f>
        <v>0</v>
      </c>
    </row>
    <row r="8" spans="1:35" ht="13.5" thickBot="1">
      <c r="A8" s="2" t="s">
        <v>16</v>
      </c>
      <c r="B8" s="64">
        <f t="shared" ref="B8:B50" si="2">C8+D8+E8+F8+G8+H8+I8+J8+K8+L8+M8+N8+O8+P8+Q8+R8+S8+T8+U8+V8+W8+X8+Y8+Z8+AA8+AB8+AC8+AD8+AE8+AF8+AG8+AH8</f>
        <v>95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>
        <v>95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5" ht="13.5" thickBot="1">
      <c r="A9" s="2" t="s">
        <v>17</v>
      </c>
      <c r="B9" s="64">
        <f t="shared" si="2"/>
        <v>15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>
        <v>15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1:35" ht="13.5" thickBot="1">
      <c r="A10" s="2" t="s">
        <v>18</v>
      </c>
      <c r="B10" s="64">
        <f t="shared" si="2"/>
        <v>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5" ht="13.5" thickBot="1">
      <c r="A11" s="2" t="s">
        <v>19</v>
      </c>
      <c r="B11" s="64">
        <f t="shared" si="2"/>
        <v>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5" ht="13.5" thickBot="1">
      <c r="A12" s="2" t="s">
        <v>20</v>
      </c>
      <c r="B12" s="64">
        <f t="shared" si="2"/>
        <v>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5" ht="13.5" thickBot="1">
      <c r="A13" s="2" t="s">
        <v>21</v>
      </c>
      <c r="B13" s="64">
        <f t="shared" si="2"/>
        <v>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5" ht="13.5" thickBot="1">
      <c r="A14" s="2" t="s">
        <v>22</v>
      </c>
      <c r="B14" s="64">
        <f t="shared" si="2"/>
        <v>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5" ht="13.5" thickBot="1">
      <c r="A15" s="2" t="s">
        <v>23</v>
      </c>
      <c r="B15" s="64">
        <f t="shared" si="2"/>
        <v>21.8</v>
      </c>
      <c r="C15" s="65">
        <v>5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>
        <v>4</v>
      </c>
      <c r="P15" s="65">
        <v>7.5</v>
      </c>
      <c r="Q15" s="65">
        <v>5.3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5" ht="13.5" thickBot="1">
      <c r="A16" s="2" t="s">
        <v>24</v>
      </c>
      <c r="B16" s="64">
        <f t="shared" si="2"/>
        <v>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>
        <v>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</row>
    <row r="17" spans="1:34" ht="13.5" thickBot="1">
      <c r="A17" s="2" t="s">
        <v>54</v>
      </c>
      <c r="B17" s="64">
        <f t="shared" si="2"/>
        <v>176</v>
      </c>
      <c r="C17" s="65">
        <v>126</v>
      </c>
      <c r="D17" s="65"/>
      <c r="E17" s="65">
        <v>50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8" spans="1:34" ht="13.5" thickBot="1">
      <c r="A18" s="2" t="s">
        <v>25</v>
      </c>
      <c r="B18" s="64">
        <f t="shared" si="2"/>
        <v>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</row>
    <row r="19" spans="1:34" ht="13.5" thickBot="1">
      <c r="A19" s="2" t="s">
        <v>26</v>
      </c>
      <c r="B19" s="64">
        <f t="shared" si="2"/>
        <v>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</row>
    <row r="20" spans="1:34" ht="13.5" thickBot="1">
      <c r="A20" s="2" t="s">
        <v>27</v>
      </c>
      <c r="B20" s="64">
        <f t="shared" si="2"/>
        <v>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</row>
    <row r="21" spans="1:34" ht="13.5" thickBot="1">
      <c r="A21" s="2" t="s">
        <v>14</v>
      </c>
      <c r="B21" s="64">
        <f t="shared" si="2"/>
        <v>58.85</v>
      </c>
      <c r="C21" s="65"/>
      <c r="D21" s="65">
        <v>47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4.5999999999999996</v>
      </c>
      <c r="P21" s="65">
        <v>7.25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1:34" ht="13.5" thickBot="1">
      <c r="A22" s="2" t="s">
        <v>28</v>
      </c>
      <c r="B22" s="64">
        <f t="shared" si="2"/>
        <v>16.8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15</v>
      </c>
      <c r="P22" s="65"/>
      <c r="Q22" s="65">
        <v>1.8</v>
      </c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4" ht="13.5" thickBot="1">
      <c r="A23" s="2" t="s">
        <v>29</v>
      </c>
      <c r="B23" s="64">
        <f t="shared" si="2"/>
        <v>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ht="13.5" thickBot="1">
      <c r="A24" s="2" t="s">
        <v>30</v>
      </c>
      <c r="B24" s="64">
        <f t="shared" si="2"/>
        <v>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ht="13.5" thickBot="1">
      <c r="A25" s="2" t="s">
        <v>31</v>
      </c>
      <c r="B25" s="64">
        <f t="shared" si="2"/>
        <v>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</row>
    <row r="26" spans="1:34" ht="13.5" thickBot="1">
      <c r="A26" s="2" t="s">
        <v>32</v>
      </c>
      <c r="B26" s="64">
        <f t="shared" si="2"/>
        <v>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</row>
    <row r="27" spans="1:34" ht="13.5" thickBot="1">
      <c r="A27" s="2" t="s">
        <v>33</v>
      </c>
      <c r="B27" s="64">
        <f t="shared" si="2"/>
        <v>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</row>
    <row r="28" spans="1:34" ht="13.5" thickBot="1">
      <c r="A28" s="2" t="s">
        <v>34</v>
      </c>
      <c r="B28" s="64">
        <f t="shared" si="2"/>
        <v>0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</row>
    <row r="29" spans="1:34" ht="13.5" thickBot="1">
      <c r="A29" s="2" t="s">
        <v>35</v>
      </c>
      <c r="B29" s="64">
        <f t="shared" si="2"/>
        <v>30</v>
      </c>
      <c r="C29" s="65">
        <v>30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1:34" ht="13.5" thickBot="1">
      <c r="A30" s="2" t="s">
        <v>36</v>
      </c>
      <c r="B30" s="64">
        <f t="shared" si="2"/>
        <v>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</row>
    <row r="31" spans="1:34" ht="13.5" thickBot="1">
      <c r="A31" s="2" t="s">
        <v>37</v>
      </c>
      <c r="B31" s="64">
        <f t="shared" si="2"/>
        <v>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</row>
    <row r="32" spans="1:34" ht="13.5" thickBot="1">
      <c r="A32" s="2" t="s">
        <v>38</v>
      </c>
      <c r="B32" s="64">
        <f t="shared" si="2"/>
        <v>25.7</v>
      </c>
      <c r="C32" s="65"/>
      <c r="D32" s="65"/>
      <c r="E32" s="65">
        <v>20</v>
      </c>
      <c r="F32" s="65"/>
      <c r="G32" s="65"/>
      <c r="H32" s="65"/>
      <c r="I32" s="65"/>
      <c r="J32" s="65"/>
      <c r="K32" s="65"/>
      <c r="L32" s="65"/>
      <c r="M32" s="65"/>
      <c r="N32" s="65">
        <v>1.2</v>
      </c>
      <c r="O32" s="65"/>
      <c r="P32" s="65"/>
      <c r="Q32" s="65">
        <v>4.5</v>
      </c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</row>
    <row r="33" spans="1:34" ht="13.5" thickBot="1">
      <c r="A33" s="2" t="s">
        <v>39</v>
      </c>
      <c r="B33" s="64">
        <f t="shared" si="2"/>
        <v>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</row>
    <row r="34" spans="1:34" ht="13.5" thickBot="1">
      <c r="A34" s="2" t="s">
        <v>40</v>
      </c>
      <c r="B34" s="64">
        <f t="shared" si="2"/>
        <v>10</v>
      </c>
      <c r="C34" s="65"/>
      <c r="D34" s="65"/>
      <c r="E34" s="65"/>
      <c r="F34" s="65"/>
      <c r="G34" s="65">
        <v>10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13.5" thickBot="1">
      <c r="A35" s="2" t="s">
        <v>41</v>
      </c>
      <c r="B35" s="64">
        <f t="shared" si="2"/>
        <v>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13.5" thickBot="1">
      <c r="A36" s="2" t="s">
        <v>42</v>
      </c>
      <c r="B36" s="64">
        <f t="shared" si="2"/>
        <v>14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>
        <v>14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</row>
    <row r="37" spans="1:34" ht="13.5" thickBot="1">
      <c r="A37" s="2" t="s">
        <v>43</v>
      </c>
      <c r="B37" s="64">
        <f t="shared" si="2"/>
        <v>25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>
        <v>25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</row>
    <row r="38" spans="1:34" ht="13.5" thickBot="1">
      <c r="A38" s="2" t="s">
        <v>44</v>
      </c>
      <c r="B38" s="64">
        <f t="shared" si="2"/>
        <v>215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>
        <v>215</v>
      </c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34" ht="13.5" thickBot="1">
      <c r="A39" s="2" t="s">
        <v>45</v>
      </c>
      <c r="B39" s="64">
        <f t="shared" si="2"/>
        <v>62.35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>
        <v>49</v>
      </c>
      <c r="O39" s="65">
        <v>9.6</v>
      </c>
      <c r="P39" s="65"/>
      <c r="Q39" s="65">
        <v>3.75</v>
      </c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</row>
    <row r="40" spans="1:34" ht="13.5" thickBot="1">
      <c r="A40" s="2" t="s">
        <v>46</v>
      </c>
      <c r="B40" s="64">
        <f t="shared" si="2"/>
        <v>31.8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>
        <v>9.6</v>
      </c>
      <c r="P40" s="65">
        <v>15</v>
      </c>
      <c r="Q40" s="65">
        <v>7.2</v>
      </c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</row>
    <row r="41" spans="1:34" ht="13.5" thickBot="1">
      <c r="A41" s="2" t="s">
        <v>47</v>
      </c>
      <c r="B41" s="64">
        <f t="shared" si="2"/>
        <v>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1:34" ht="13.5" thickBot="1">
      <c r="A42" s="2" t="s">
        <v>48</v>
      </c>
      <c r="B42" s="64">
        <f t="shared" si="2"/>
        <v>0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  <row r="43" spans="1:34" ht="13.5" thickBot="1">
      <c r="A43" s="2" t="s">
        <v>49</v>
      </c>
      <c r="B43" s="64">
        <f t="shared" si="2"/>
        <v>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</row>
    <row r="44" spans="1:34" ht="13.5" thickBot="1">
      <c r="A44" s="2" t="s">
        <v>2</v>
      </c>
      <c r="B44" s="64">
        <f t="shared" si="2"/>
        <v>77.5</v>
      </c>
      <c r="C44" s="65"/>
      <c r="D44" s="65"/>
      <c r="E44" s="65"/>
      <c r="F44" s="65">
        <v>20</v>
      </c>
      <c r="G44" s="65"/>
      <c r="H44" s="65"/>
      <c r="I44" s="65"/>
      <c r="J44" s="65"/>
      <c r="K44" s="65"/>
      <c r="L44" s="65"/>
      <c r="M44" s="65"/>
      <c r="N44" s="65"/>
      <c r="O44" s="65"/>
      <c r="P44" s="65">
        <v>7.5</v>
      </c>
      <c r="Q44" s="65"/>
      <c r="R44" s="65"/>
      <c r="S44" s="65">
        <v>50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</row>
    <row r="45" spans="1:34" ht="13.5" thickBot="1">
      <c r="A45" s="2" t="s">
        <v>3</v>
      </c>
      <c r="B45" s="64">
        <f t="shared" si="2"/>
        <v>40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>
        <v>40</v>
      </c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</row>
    <row r="46" spans="1:34" ht="13.5" thickBot="1">
      <c r="A46" s="2" t="s">
        <v>50</v>
      </c>
      <c r="B46" s="64">
        <f t="shared" si="2"/>
        <v>8</v>
      </c>
      <c r="C46" s="65"/>
      <c r="D46" s="65"/>
      <c r="E46" s="65">
        <v>8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</row>
    <row r="47" spans="1:34" ht="13.5" thickBot="1">
      <c r="A47" s="2" t="s">
        <v>51</v>
      </c>
      <c r="B47" s="64">
        <f t="shared" si="2"/>
        <v>0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1:34" ht="13.5" thickBot="1">
      <c r="A48" s="2" t="s">
        <v>52</v>
      </c>
      <c r="B48" s="64">
        <f t="shared" si="2"/>
        <v>9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>
        <v>9</v>
      </c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</row>
    <row r="49" spans="1:34" ht="13.5" thickBot="1">
      <c r="A49" s="2" t="s">
        <v>13</v>
      </c>
      <c r="B49" s="64">
        <f t="shared" si="2"/>
        <v>200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>
        <v>200</v>
      </c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</row>
    <row r="50" spans="1:34" ht="13.5" thickBot="1">
      <c r="A50" s="2" t="s">
        <v>53</v>
      </c>
      <c r="B50" s="64">
        <f t="shared" si="2"/>
        <v>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</row>
    <row r="51" spans="1:34" ht="13.5" customHeight="1" thickBot="1">
      <c r="A51" s="2" t="s">
        <v>115</v>
      </c>
      <c r="B51" s="64">
        <f>C51+D51+E51+F51+G51+H51+I51+J51+K51+L51+M51+N51+O51+P51+Q51+R51+S51+T51+U51+V51+W51+X51+Y51+Z51+AA51+AB51+AC51+AD51+AE51+AF51+AG51+AI51</f>
        <v>0</v>
      </c>
      <c r="C51" s="2"/>
      <c r="D51" s="2"/>
      <c r="E51" s="2"/>
      <c r="F51" s="2"/>
      <c r="G51" s="65"/>
      <c r="H51" s="2"/>
      <c r="I51" s="2"/>
      <c r="J51" s="65"/>
      <c r="K51" s="2"/>
      <c r="L51" s="6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5"/>
    </row>
  </sheetData>
  <mergeCells count="20">
    <mergeCell ref="Z4:AG4"/>
    <mergeCell ref="C4:J4"/>
    <mergeCell ref="K4:L4"/>
    <mergeCell ref="N4:V4"/>
    <mergeCell ref="W4:X4"/>
    <mergeCell ref="AB1:AH1"/>
    <mergeCell ref="B1:J1"/>
    <mergeCell ref="K1:L1"/>
    <mergeCell ref="N1:V1"/>
    <mergeCell ref="W1:X1"/>
    <mergeCell ref="AA2:AG2"/>
    <mergeCell ref="B3:J3"/>
    <mergeCell ref="K3:L3"/>
    <mergeCell ref="N3:V3"/>
    <mergeCell ref="W3:X3"/>
    <mergeCell ref="AA3:AG3"/>
    <mergeCell ref="B2:J2"/>
    <mergeCell ref="K2:L2"/>
    <mergeCell ref="N2:V2"/>
    <mergeCell ref="W2:X2"/>
  </mergeCells>
  <phoneticPr fontId="4" type="noConversion"/>
  <pageMargins left="0.16" right="0.16" top="0.2" bottom="0.2" header="0.2" footer="0.15"/>
  <pageSetup paperSize="9" scale="7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1"/>
  <sheetViews>
    <sheetView topLeftCell="A5" zoomScale="75" workbookViewId="0">
      <selection activeCell="F5" sqref="F5"/>
    </sheetView>
  </sheetViews>
  <sheetFormatPr defaultRowHeight="12.75"/>
  <cols>
    <col min="1" max="1" width="21.140625" customWidth="1"/>
    <col min="2" max="2" width="6.28515625" customWidth="1"/>
    <col min="3" max="3" width="6.85546875" customWidth="1"/>
    <col min="4" max="4" width="5.85546875" customWidth="1"/>
    <col min="5" max="6" width="5.42578125" customWidth="1"/>
    <col min="7" max="7" width="6.7109375" customWidth="1"/>
    <col min="8" max="8" width="6.5703125" customWidth="1"/>
    <col min="9" max="9" width="1.5703125" customWidth="1"/>
    <col min="10" max="10" width="1" customWidth="1"/>
    <col min="11" max="11" width="6.7109375" customWidth="1"/>
    <col min="12" max="12" width="4.7109375" customWidth="1"/>
    <col min="13" max="13" width="0.7109375" customWidth="1"/>
    <col min="14" max="14" width="5.85546875" customWidth="1"/>
    <col min="15" max="15" width="6.140625" customWidth="1"/>
    <col min="16" max="16" width="5.85546875" customWidth="1"/>
    <col min="17" max="17" width="6.28515625" customWidth="1"/>
    <col min="18" max="18" width="6.140625" customWidth="1"/>
    <col min="19" max="19" width="5.85546875" customWidth="1"/>
    <col min="20" max="20" width="5.7109375" customWidth="1"/>
    <col min="21" max="21" width="5.85546875" customWidth="1"/>
    <col min="22" max="22" width="0.85546875" customWidth="1"/>
    <col min="23" max="23" width="6.28515625" customWidth="1"/>
    <col min="24" max="24" width="5.42578125" customWidth="1"/>
    <col min="25" max="25" width="4.5703125" customWidth="1"/>
    <col min="26" max="26" width="5.140625" customWidth="1"/>
    <col min="27" max="27" width="5.5703125" customWidth="1"/>
    <col min="28" max="28" width="5.42578125" customWidth="1"/>
    <col min="29" max="29" width="5.85546875" customWidth="1"/>
    <col min="30" max="30" width="6" customWidth="1"/>
    <col min="31" max="32" width="6.140625" customWidth="1"/>
    <col min="33" max="34" width="1" customWidth="1"/>
    <col min="35" max="35" width="8.5703125" customWidth="1"/>
  </cols>
  <sheetData>
    <row r="1" spans="1:38" ht="13.5" thickBot="1">
      <c r="A1" s="1" t="s">
        <v>75</v>
      </c>
      <c r="B1" s="83" t="s">
        <v>89</v>
      </c>
      <c r="C1" s="82"/>
      <c r="D1" s="82"/>
      <c r="E1" s="82"/>
      <c r="F1" s="82"/>
      <c r="G1" s="82"/>
      <c r="H1" s="82"/>
      <c r="I1" s="82"/>
      <c r="J1" s="84"/>
      <c r="K1" s="83"/>
      <c r="L1" s="84"/>
      <c r="M1" s="39"/>
      <c r="N1" s="83" t="s">
        <v>90</v>
      </c>
      <c r="O1" s="82"/>
      <c r="P1" s="82"/>
      <c r="Q1" s="82"/>
      <c r="R1" s="82"/>
      <c r="S1" s="82"/>
      <c r="T1" s="82"/>
      <c r="U1" s="82"/>
      <c r="V1" s="84"/>
      <c r="W1" s="83">
        <v>15</v>
      </c>
      <c r="X1" s="82"/>
      <c r="Y1" s="39"/>
      <c r="Z1" s="38"/>
      <c r="AA1" s="37"/>
      <c r="AB1" s="82"/>
      <c r="AC1" s="82"/>
      <c r="AD1" s="82"/>
      <c r="AE1" s="82"/>
      <c r="AF1" s="82"/>
      <c r="AG1" s="82"/>
      <c r="AH1" s="82"/>
      <c r="AI1" s="39">
        <f>AI3*100/B7</f>
        <v>0</v>
      </c>
    </row>
    <row r="2" spans="1:38" ht="26.25" thickBot="1">
      <c r="A2" s="1" t="s">
        <v>4</v>
      </c>
      <c r="B2" s="77">
        <f>B3*100/2350</f>
        <v>18.951634042553192</v>
      </c>
      <c r="C2" s="73"/>
      <c r="D2" s="73"/>
      <c r="E2" s="73"/>
      <c r="F2" s="73"/>
      <c r="G2" s="73"/>
      <c r="H2" s="73"/>
      <c r="I2" s="73"/>
      <c r="J2" s="78"/>
      <c r="K2" s="77">
        <f>K3*100/B7</f>
        <v>0</v>
      </c>
      <c r="L2" s="78"/>
      <c r="M2" s="10"/>
      <c r="N2" s="77">
        <f>N3*100/2350</f>
        <v>30.757535319148936</v>
      </c>
      <c r="O2" s="73"/>
      <c r="P2" s="73"/>
      <c r="Q2" s="73"/>
      <c r="R2" s="73"/>
      <c r="S2" s="73"/>
      <c r="T2" s="73"/>
      <c r="U2" s="73"/>
      <c r="V2" s="78"/>
      <c r="W2" s="77">
        <f>W3*100/1970</f>
        <v>0</v>
      </c>
      <c r="X2" s="73"/>
      <c r="Y2" s="10"/>
      <c r="Z2" s="32"/>
      <c r="AA2" s="9"/>
      <c r="AB2" s="73">
        <f>AB3*100/B7</f>
        <v>0</v>
      </c>
      <c r="AC2" s="73"/>
      <c r="AD2" s="73"/>
      <c r="AE2" s="73"/>
      <c r="AF2" s="73"/>
      <c r="AG2" s="73"/>
      <c r="AH2" s="73"/>
      <c r="AI2" s="10">
        <f>AI3*100/B7</f>
        <v>0</v>
      </c>
    </row>
    <row r="3" spans="1:38" ht="13.5" thickBot="1">
      <c r="A3" s="2" t="s">
        <v>5</v>
      </c>
      <c r="B3" s="74">
        <f>C7+D7+E7+F7+G7+H7+I7+J7</f>
        <v>445.36340000000007</v>
      </c>
      <c r="C3" s="75"/>
      <c r="D3" s="75"/>
      <c r="E3" s="75"/>
      <c r="F3" s="75"/>
      <c r="G3" s="75"/>
      <c r="H3" s="75"/>
      <c r="I3" s="75"/>
      <c r="J3" s="76"/>
      <c r="K3" s="74">
        <f>K7+L7</f>
        <v>0</v>
      </c>
      <c r="L3" s="76"/>
      <c r="M3" s="11"/>
      <c r="N3" s="74">
        <f>N7+O7+P7+Q7+R7+S7+T7+U7+V7</f>
        <v>722.80208000000005</v>
      </c>
      <c r="O3" s="75"/>
      <c r="P3" s="75"/>
      <c r="Q3" s="75"/>
      <c r="R3" s="75"/>
      <c r="S3" s="75"/>
      <c r="T3" s="75"/>
      <c r="U3" s="75"/>
      <c r="V3" s="76"/>
      <c r="W3" s="77">
        <f>W7+X7+Y7</f>
        <v>0</v>
      </c>
      <c r="X3" s="75"/>
      <c r="Y3" s="11"/>
      <c r="Z3" s="33"/>
      <c r="AA3" s="12"/>
      <c r="AB3" s="73">
        <f>AA7+AB7+AC7+AD7+AE7+AF7</f>
        <v>0</v>
      </c>
      <c r="AC3" s="75"/>
      <c r="AD3" s="75"/>
      <c r="AE3" s="75"/>
      <c r="AF3" s="75"/>
      <c r="AG3" s="75"/>
      <c r="AH3" s="75"/>
      <c r="AI3" s="11">
        <f>AI7</f>
        <v>0</v>
      </c>
    </row>
    <row r="4" spans="1:38" ht="15" customHeight="1" thickBot="1">
      <c r="A4" s="2"/>
      <c r="B4" s="3"/>
      <c r="C4" s="79" t="s">
        <v>1</v>
      </c>
      <c r="D4" s="80"/>
      <c r="E4" s="80"/>
      <c r="F4" s="80"/>
      <c r="G4" s="80"/>
      <c r="H4" s="80"/>
      <c r="I4" s="80"/>
      <c r="J4" s="81"/>
      <c r="K4" s="79" t="s">
        <v>6</v>
      </c>
      <c r="L4" s="81"/>
      <c r="M4" s="3"/>
      <c r="N4" s="79" t="s">
        <v>7</v>
      </c>
      <c r="O4" s="80"/>
      <c r="P4" s="80"/>
      <c r="Q4" s="80"/>
      <c r="R4" s="80"/>
      <c r="S4" s="80"/>
      <c r="T4" s="80"/>
      <c r="U4" s="80"/>
      <c r="V4" s="81"/>
      <c r="W4" s="79" t="s">
        <v>8</v>
      </c>
      <c r="X4" s="80"/>
      <c r="Y4" s="54"/>
      <c r="Z4" s="34"/>
      <c r="AA4" s="79" t="s">
        <v>9</v>
      </c>
      <c r="AB4" s="80"/>
      <c r="AC4" s="80"/>
      <c r="AD4" s="80"/>
      <c r="AE4" s="80"/>
      <c r="AF4" s="80"/>
      <c r="AG4" s="80"/>
      <c r="AH4" s="80"/>
      <c r="AI4" s="3" t="s">
        <v>10</v>
      </c>
    </row>
    <row r="5" spans="1:38" ht="105.75" customHeight="1" thickBot="1">
      <c r="A5" s="2" t="s">
        <v>83</v>
      </c>
      <c r="B5" s="5" t="s">
        <v>11</v>
      </c>
      <c r="C5" s="72" t="s">
        <v>139</v>
      </c>
      <c r="D5" s="72" t="s">
        <v>143</v>
      </c>
      <c r="E5" s="40" t="s">
        <v>2</v>
      </c>
      <c r="F5" s="72" t="s">
        <v>91</v>
      </c>
      <c r="G5" s="5" t="s">
        <v>136</v>
      </c>
      <c r="H5" s="72"/>
      <c r="I5" s="5"/>
      <c r="J5" s="27"/>
      <c r="K5" s="5"/>
      <c r="L5" s="5"/>
      <c r="M5" s="27"/>
      <c r="N5" s="72" t="s">
        <v>110</v>
      </c>
      <c r="O5" s="72" t="s">
        <v>94</v>
      </c>
      <c r="P5" s="72" t="s">
        <v>124</v>
      </c>
      <c r="Q5" s="72" t="s">
        <v>100</v>
      </c>
      <c r="R5" s="72" t="s">
        <v>108</v>
      </c>
      <c r="S5" s="5" t="s">
        <v>2</v>
      </c>
      <c r="T5" s="5" t="s">
        <v>102</v>
      </c>
      <c r="U5" s="5"/>
      <c r="V5" s="27"/>
      <c r="W5" s="5"/>
      <c r="X5" s="5"/>
      <c r="Y5" s="35"/>
      <c r="Z5" s="35"/>
      <c r="AA5" s="40"/>
      <c r="AB5" s="40"/>
      <c r="AC5" s="5"/>
      <c r="AD5" s="5"/>
      <c r="AE5" s="40"/>
      <c r="AF5" s="42"/>
      <c r="AG5" s="5"/>
      <c r="AH5" s="50"/>
      <c r="AI5" s="5"/>
      <c r="AL5" s="44"/>
    </row>
    <row r="6" spans="1:38" ht="13.5" thickBot="1">
      <c r="A6" s="2" t="s">
        <v>15</v>
      </c>
      <c r="B6" s="24"/>
      <c r="C6" s="4">
        <v>150</v>
      </c>
      <c r="D6" s="4">
        <v>175</v>
      </c>
      <c r="E6" s="4">
        <v>20</v>
      </c>
      <c r="F6" s="4">
        <v>200</v>
      </c>
      <c r="G6" s="4">
        <v>170</v>
      </c>
      <c r="H6" s="4"/>
      <c r="I6" s="4"/>
      <c r="J6" s="28"/>
      <c r="K6" s="4"/>
      <c r="L6" s="4"/>
      <c r="M6" s="28"/>
      <c r="N6" s="4">
        <v>60</v>
      </c>
      <c r="O6" s="4">
        <v>200</v>
      </c>
      <c r="P6" s="4">
        <v>100</v>
      </c>
      <c r="Q6" s="4">
        <v>150</v>
      </c>
      <c r="R6" s="4">
        <v>200</v>
      </c>
      <c r="S6" s="4">
        <v>50</v>
      </c>
      <c r="T6" s="4">
        <v>40</v>
      </c>
      <c r="U6" s="4"/>
      <c r="V6" s="28"/>
      <c r="W6" s="4"/>
      <c r="X6" s="4"/>
      <c r="Y6" s="24"/>
      <c r="Z6" s="24"/>
      <c r="AA6" s="4"/>
      <c r="AB6" s="4"/>
      <c r="AC6" s="4"/>
      <c r="AD6" s="4"/>
      <c r="AE6" s="4"/>
      <c r="AF6" s="1"/>
      <c r="AG6" s="4"/>
      <c r="AH6" s="31"/>
      <c r="AI6" s="4"/>
      <c r="AL6" s="45"/>
    </row>
    <row r="7" spans="1:38" ht="13.5" thickBot="1">
      <c r="A7" s="2" t="s">
        <v>0</v>
      </c>
      <c r="B7" s="8">
        <f t="shared" ref="B7:B51" si="0">C7+D7+E7+F7+G7+H7+I7+J7+K7+L7+M7+N7+O7+P7+Q7+R7+S7+T7+U7+V7+W7+X7+Y7+Z7+AA7+AB7+AC7+AD7+AE7+AF7+AG7+AI7</f>
        <v>1168.1654799999999</v>
      </c>
      <c r="C7" s="8">
        <f>C8*1.1928+C9*1.1928+C10*1.3875+C11*1.1928+C12*3.01+C13*3.01+C14*0.783+C15*7.09+C16*8.99+C17*0.52+C18*1.18+C19*1.56+C20*3.6+C21*1.3659+C22*3.34+C23*3.68+C24*3.314+C25*3.314+C26*3.314+C27*3.314+C28*3.314+C29*3.314+C30*3.314+C31*3.314+C32*3.74+C34*3.558+C35*0.466+C36*0.396+C37*0.56+C38*0.2744+C39*0.2744+C40*0.2744+C41*0.2744+C42*0.2744+C43*0.2744+C44*2.26+C45*1.81+C46*3.78+C49*0.31+C50*3.69</f>
        <v>180.64340000000001</v>
      </c>
      <c r="D7" s="8">
        <f>D8*1.1928+D9*1.1928+D10*1.3875+D11*1.1928+D12*3.01+D13*3.01+D14*0.783+D15*7.09+D16*8.99+D17*0.52+D18*1.18+D19*1.56+D20*3.6+D21*1.3659+D22*3.34+D23*3.68+D24*3.314+D25*3.314+D26*3.314+D27*3.314+D28*3.314+D29*3.314+D30*3.314+D31*3.314+D32*3.74+D34*3.558+D35*0.466+D36*0.396+D37*0.56+D38*0.2744+D39*0.2744+D40*0.2744+D41*0.2744+D42*0.2744+D43*0.2744+D44*2.26+D45*1.81+D46*3.78+D49*0.31+D50*3.69+D51*0.52</f>
        <v>94.12</v>
      </c>
      <c r="E7" s="8">
        <f>E8*1.1928+E9*1.1928+E10*1.3875+E11*1.1928+E12*3.01+E13*3.01+E14*0.783+E15*7.09+E16*8.99+E17*0.52+E18*1.18+E19*1.56+E20*3.6+E21*1.3659+E22*3.34+E23*3.68+E24*3.314+E25*3.314+E26*3.314+E27*3.314+E28*3.314+E29*3.314+E30*3.314+E31*3.314+E32*3.74+E34*3.558+E35*0.466+E36*0.396+E37*0.56+E38*0.2744+E39*0.2744+E40*0.2744+E41*0.2744+E42*0.2744+E43*0.2744+E44*2.26+E45*1.81+E46*3.78+E49*0.31+E50*3.69</f>
        <v>45.199999999999996</v>
      </c>
      <c r="F7" s="8">
        <f>F8*1.1928+F9*1.1928+F10*1.3875+F11*1.1928+F12*3.01+F13*3.01+F14*0.783+F15*7.09+F16*8.99+F17*0.52+F18*1.18+F19*1.56+F20*3.6+F21*1.3659+F22*3.34+F23*3.68+F24*3.314+F25*3.314+F26*3.314+F27*3.314+F28*3.314+F29*3.314+F30*3.314+F31*3.314+F32*3.74+F34*3.558+F35*0.466+F36*0.396+F37*0.56+F38*0.2744+F39*0.2744+F40*0.2744+F41*0.2744+F42*0.2744+F43*0.2744+F44*2.26+F45*1.81+F46*3.78+F49*0.31+F50*3.69</f>
        <v>56.1</v>
      </c>
      <c r="G7" s="8">
        <f>G8*1.1928+G9*1.1928+G10*1.3875+G11*1.1928+G12*3.01+G13*3.01+G14*0.783+G15*7.09+G16*8.99+G17*0.52+G18*1.18+G19*1.56+G20*3.6+G21*1.3659+G22*3.34+G23*3.68+G24*3.314+G25*3.314+G26*3.314+G27*3.314+G28*3.314+G29*3.314+G30*3.314+G31*3.314+G32*3.74+G34*3.558+G35*0.466+G36*0.396+G37*0.56+G38*0.2744+G39*0.2744+G40*0.2744+G41*0.2744+G42*0.2744+G43*0.2744+G44*2.26+G45*1.81+G46*3.78+G49*0.31+G50*3.69</f>
        <v>69.3</v>
      </c>
      <c r="H7" s="8">
        <f>H8*1.1928+H9*1.1928+H10*1.3875+H11*1.1928+H12*3.01+H13*3.01+H14*0.783+H15*7.09+H16*8.99+H17*0.52+H18*1.18+H19*1.56+H20*3.6+H21*1.3659+H22*3.34+H23*3.68+H24*3.314+H25*3.314+H26*3.314+H27*3.314+H28*3.314+H29*3.314+H30*3.314+H31*3.314+H32*3.74+H34*3.558+H35*0.466+H36*0.396+H37*0.56+H38*0.2744+H39*0.2744+H40*0.2744+H41*0.2744+H42*0.2744+H43*0.2744+H44*2.26+H45*1.81+H46*3.78+H49*0.31+H50*3.69</f>
        <v>0</v>
      </c>
      <c r="I7" s="8">
        <f>I8*1.1928+I9*1.1928+I10*1.3875+I11*1.1928+I12*3.01+I13*3.01+I14*0.783+I15*7.09+I16*8.99+I17*0.52+I18*1.18+I19*1.56+I20*3.6+I21*1.3659+I22*3.34+I23*3.68+I24*3.314+I25*3.314+I26*3.314+I27*3.314+I28*3.314+I29*3.314+I30*3.314+I31*3.314+I32*3.74+I34*3.558+I35*0.466+I36*0.396+I37*0.56+I38*0.2744+I39*0.2744+I40*0.2744+I41*0.2744+I42*0.2744+I43*0.2744+I44*2.26+I45*1.81+I46*3.78+I49*0.31+I50*3.69</f>
        <v>0</v>
      </c>
      <c r="J7" s="29"/>
      <c r="K7" s="8">
        <f>K8*1.1928+K9*1.1928+K10*1.3875+K11*1.1928+K12*3.01+K13*3.01+K14*0.783+K15*7.09+K16*8.99+K17*0.52+K18*1.18+K19*1.56+K20*3.6+K21*1.3659+K22*3.34+K23*3.68+K24*3.314+K25*3.314+K26*3.314+K27*3.314+K28*3.314+K29*3.314+K30*3.314+K31*3.314+K32*3.74+K34*3.558+K35*0.466+K36*0.396+K37*0.56+K38*0.2744+K39*0.2744+K40*0.2744+K41*0.2744+K42*0.2744+K43*0.2744+K44*2.26+K45*1.81+K46*3.78+K49*0.31+K50*3.69</f>
        <v>0</v>
      </c>
      <c r="L7" s="8">
        <f>L8*1.1928+L9*1.1928+L10*1.3875+L11*1.1928+L12*3.01+L13*3.01+L14*0.783+L15*7.09+L16*8.99+L17*0.52+L18*1.18+L19*1.56+L20*3.6+L21*1.3659+L22*3.34+L23*3.68+L24*3.314+L25*3.314+L26*3.314+L27*3.314+L28*3.314+L29*3.314+L30*3.314+L31*3.314+L32*3.74+L34*3.558+L35*0.466+L36*0.396+L37*0.56+L38*0.2744+L39*0.2744+L40*0.2744+L41*0.2744+L42*0.2744+L43*0.2744+L44*2.26+L45*1.81+L46*3.78+L49*0.31+L50*3.69</f>
        <v>0</v>
      </c>
      <c r="M7" s="29"/>
      <c r="N7" s="8">
        <f>N8*1.1928+N9*1.1928+N10*1.3875+N11*1.1928+N12*3.01+N13*3.01+N14*0.783+N15*7.09+N16*8.99+N17*0.52+N18*1.18+N19*1.56+N20*3.6+N21*1.3659+N22*3.34+N23*3.68+N24*3.314+N25*3.314+N26*3.314+N27*3.314+N28*3.314+N29*3.314+N30*3.314+N31*3.314+N32*3.74+N34*3.558+N35*0.466+N36*0.396+N37*0.56+N38*0.2744+N39*0.2744+N40*0.2744+N41*0.2744+N42*0.2744+N43*0.2744+N44*2.26+N45*1.81+N46*3.78+N49*0.31+N50*3.69</f>
        <v>78.501599999999996</v>
      </c>
      <c r="O7" s="8">
        <f>O8*1.1928+O9*1.1928+O10*1.3875+O11*1.1928+O12*3.01+O13*3.01+O14*0.783+O15*7.09+O16*8.99+O17*0.52+O18*1.18+O19*1.56+O20*3.6+O21*1.3659+O22*3.34+O23*3.68+O24*3.314+O25*3.314+O26*3.314+O27*3.314+O28*3.314+O29*3.314+O30*3.314+O31*3.314+O32*3.74+O34*3.558+O35*0.466+O36*0.396+O37*0.56+O38*0.2744+O39*0.2744+O40*0.2744+O41*0.2744+O42*0.2744+O43*0.2744+O44*2.26+O45*1.81+O46*3.78+O49*0.31+O50*3.69</f>
        <v>117.54656</v>
      </c>
      <c r="P7" s="8">
        <f t="shared" ref="P7:U7" si="1">P8*1.1928+P9*1.1928+P10*1.3875+P11*1.1928+P12*3.01+P13*3.01+P14*0.783+P15*7.09+P16*8.99+P17*0.52+P18*1.18+P19*1.56+P20*3.6+P21*1.3659+P22*3.34+P23*3.68+P24*3.314+P25*3.314+P26*3.314+P27*3.314+P28*3.314+P29*3.314+P30*3.314+P31*3.314+P32*3.74+P34*3.558+P35*0.466+P36*0.396+P37*0.56+P38*0.2744+P39*0.2744+P40*0.2744+P41*0.2744+P42*0.2744+P43*0.2744+P44*2.26+P45*1.81+P46*3.78+P49*0.31+P50*3.69</f>
        <v>113.54392</v>
      </c>
      <c r="Q7" s="8">
        <f t="shared" si="1"/>
        <v>143.69</v>
      </c>
      <c r="R7" s="8">
        <f t="shared" si="1"/>
        <v>84.12</v>
      </c>
      <c r="S7" s="8">
        <f t="shared" si="1"/>
        <v>112.99999999999999</v>
      </c>
      <c r="T7" s="8">
        <f t="shared" si="1"/>
        <v>72.400000000000006</v>
      </c>
      <c r="U7" s="8">
        <f t="shared" si="1"/>
        <v>0</v>
      </c>
      <c r="V7" s="29"/>
      <c r="W7" s="8"/>
      <c r="X7" s="8"/>
      <c r="Y7" s="8">
        <f t="shared" ref="Y7:AD7" si="2">Y8*1.1928+Y9*1.1928+Y10*1.3875+Y11*1.1928+Y12*3.01+Y13*3.01+Y14*0.783+Y15*7.09+Y16*8.99+Y17*0.52+Y18*1.18+Y19*1.56+Y20*3.6+Y21*1.3659+Y22*3.34+Y23*3.68+Y24*3.314+Y25*3.314+Y26*3.314+Y27*3.314+Y28*3.314+Y29*3.314+Y30*3.314+Y31*3.314+Y32*3.74+Y34*3.558+Y35*0.466+Y36*0.396+Y37*0.56+Y38*0.2744+Y39*0.2744+Y40*0.2744+Y41*0.2744+Y42*0.2744+Y43*0.2744+Y44*2.26+Y45*1.81+Y46*3.78+Y49*0.31+Y50*3.69</f>
        <v>0</v>
      </c>
      <c r="Z7" s="8">
        <f t="shared" si="2"/>
        <v>0</v>
      </c>
      <c r="AA7" s="8">
        <f t="shared" si="2"/>
        <v>0</v>
      </c>
      <c r="AB7" s="8">
        <f t="shared" si="2"/>
        <v>0</v>
      </c>
      <c r="AC7" s="8">
        <f t="shared" si="2"/>
        <v>0</v>
      </c>
      <c r="AD7" s="8">
        <f t="shared" si="2"/>
        <v>0</v>
      </c>
      <c r="AE7" s="8">
        <f>AE8*1.1928+AE9*1.1928+AE10*1.3875+AE12*3.01+AE13*3.01+AE14*1.363+AE15*7.09+AE16*8.99+AE17*0.52+AE18*2.06+AE19*1.59+AE20*3.6+AE21*1.6095+AE22*3.34+AE23*3.68+AE24*3.314+AE25*3.314+AE26*3.314+AE27*3.314+AE28*3.314+AE29*3.314+AE30*3.314+AE31*3.314+AE32*3.79+AE34*3.558+AE35*0.466+AE36*0.396+AE37*0.56+AE38*0.27+AE39*0.27+AE40*0.27+AE41*0.27+AE42*0.27+AE43*0.27+AE44*2.62+AE45*1.81+AE46*3.78+AE49*0.31+AE50*3.69</f>
        <v>0</v>
      </c>
      <c r="AF7" s="8">
        <f>AF8*1.1928+AF9*1.1928+AF10*1.3875+AF11*1.1928+AF12*3.01+AF13*3.01+AF14*0.783+AF15*7.09+AF16*8.99+AF17*0.52+AF18*1.18+AF19*1.56+AF20*3.6+AF21*1.3659+AF22*3.34+AF23*3.68+AF24*3.314+AF25*3.314+AF26*3.314+AF27*3.314+AF28*3.314+AF29*3.314+AF30*3.314+AF31*3.314+AF32*3.74+AF34*3.558+AF35*0.466+AF36*0.396+AF37*0.56+AF38*0.2744+AF39*0.2744+AF40*0.2744+AF41*0.2744+AF42*0.2744+AF43*0.2744+AF44*2.26+AF45*1.81+AF46*3.78+AF49*0.31+AF50*3.69</f>
        <v>0</v>
      </c>
      <c r="AG7" s="8">
        <f>AG8*1.1928+AG9*1.1928+AG10*1.3875+AG11*1.1928+AG12*3.01+AG13*3.01+AG14*0.783+AG15*7.09+AG16*8.99+AG17*0.52+AG18*1.18+AG19*1.56+AG20*3.6+AG21*1.3659+AG22*3.34+AG23*3.68+AG24*3.314+AG25*3.314+AG26*3.314+AG27*3.314+AG28*3.314+AG29*3.314+AG30*3.314+AG31*3.314+AG32*3.74+AG34*3.558+AG35*0.466+AG36*0.396+AG37*0.56+AG38*0.2744+AG39*0.2744+AG40*0.2744+AG41*0.2744+AG42*0.2744+AG43*0.2744+AG44*2.26+AG45*1.81+AG46*3.78+AG49*0.31+AG50*3.69</f>
        <v>0</v>
      </c>
      <c r="AH7" s="31"/>
      <c r="AI7" s="8">
        <f>AI8*1.1928+AI9*1.1928+AI10*1.3875+AI11*1.1928+AI12*3.01+AI13*3.01+AI14*0.783+AI15*7.09+AI16*8.99+AI17*0.52+AI18*1.18+AI19*1.56+AI20*3.6+AI21*1.3659+AI22*3.34+AI23*3.68+AI24*3.314+AI25*3.314+AI26*3.314+AI27*3.314+AI28*3.314+AI29*3.314+AI30*3.314+AI31*3.314+AI32*3.74+AI34*3.558+AI35*0.466+AI36*0.396+AI37*0.56+AI38*0.2744+AI39*0.2744+AI40*0.2744+AI41*0.2744+AI42*0.2744+AI43*0.2744+AI44*2.26+AI45*1.81+AI46*3.78+AI49*0.31+AI50*3.69</f>
        <v>0</v>
      </c>
      <c r="AL7" s="46"/>
    </row>
    <row r="8" spans="1:38" ht="13.5" thickBot="1">
      <c r="A8" s="2" t="s">
        <v>16</v>
      </c>
      <c r="B8" s="8">
        <f t="shared" si="0"/>
        <v>0</v>
      </c>
      <c r="C8" s="65"/>
      <c r="D8" s="65"/>
      <c r="E8" s="65"/>
      <c r="F8" s="65"/>
      <c r="G8" s="65"/>
      <c r="H8" s="65"/>
      <c r="I8" s="6"/>
      <c r="J8" s="29"/>
      <c r="K8" s="65"/>
      <c r="L8" s="6"/>
      <c r="M8" s="29"/>
      <c r="N8" s="65"/>
      <c r="O8" s="65"/>
      <c r="P8" s="6"/>
      <c r="Q8" s="65"/>
      <c r="R8" s="65"/>
      <c r="S8" s="65"/>
      <c r="T8" s="65"/>
      <c r="U8" s="6"/>
      <c r="V8" s="29"/>
      <c r="W8" s="6"/>
      <c r="X8" s="6"/>
      <c r="Y8" s="36"/>
      <c r="Z8" s="36"/>
      <c r="AA8" s="6"/>
      <c r="AB8" s="6"/>
      <c r="AC8" s="6"/>
      <c r="AD8" s="6"/>
      <c r="AE8" s="6"/>
      <c r="AF8" s="6"/>
      <c r="AG8" s="6"/>
      <c r="AH8" s="29"/>
      <c r="AI8" s="6"/>
      <c r="AL8" s="43"/>
    </row>
    <row r="9" spans="1:38" ht="13.5" thickBot="1">
      <c r="A9" s="2" t="s">
        <v>17</v>
      </c>
      <c r="B9" s="8">
        <f t="shared" si="0"/>
        <v>0</v>
      </c>
      <c r="C9" s="65"/>
      <c r="D9" s="65"/>
      <c r="E9" s="65"/>
      <c r="F9" s="65"/>
      <c r="G9" s="65"/>
      <c r="H9" s="65"/>
      <c r="I9" s="6"/>
      <c r="J9" s="29"/>
      <c r="K9" s="65"/>
      <c r="L9" s="6"/>
      <c r="M9" s="29"/>
      <c r="N9" s="65"/>
      <c r="O9" s="65"/>
      <c r="P9" s="6"/>
      <c r="Q9" s="65"/>
      <c r="R9" s="65"/>
      <c r="S9" s="65"/>
      <c r="T9" s="65"/>
      <c r="U9" s="6"/>
      <c r="V9" s="29"/>
      <c r="W9" s="6"/>
      <c r="X9" s="6"/>
      <c r="Y9" s="36"/>
      <c r="Z9" s="36"/>
      <c r="AA9" s="6"/>
      <c r="AB9" s="6"/>
      <c r="AC9" s="6"/>
      <c r="AD9" s="6"/>
      <c r="AE9" s="6"/>
      <c r="AF9" s="6"/>
      <c r="AG9" s="6"/>
      <c r="AH9" s="29"/>
      <c r="AI9" s="6"/>
      <c r="AL9" s="43"/>
    </row>
    <row r="10" spans="1:38" ht="13.5" thickBot="1">
      <c r="A10" s="2" t="s">
        <v>18</v>
      </c>
      <c r="B10" s="8">
        <f t="shared" si="0"/>
        <v>0</v>
      </c>
      <c r="C10" s="65"/>
      <c r="D10" s="65"/>
      <c r="E10" s="65"/>
      <c r="F10" s="65"/>
      <c r="G10" s="65"/>
      <c r="H10" s="65"/>
      <c r="I10" s="6"/>
      <c r="J10" s="29"/>
      <c r="K10" s="65"/>
      <c r="L10" s="6"/>
      <c r="M10" s="29"/>
      <c r="N10" s="65"/>
      <c r="O10" s="65"/>
      <c r="P10" s="6"/>
      <c r="Q10" s="65"/>
      <c r="R10" s="65"/>
      <c r="S10" s="65"/>
      <c r="T10" s="65"/>
      <c r="U10" s="6"/>
      <c r="V10" s="29"/>
      <c r="W10" s="6"/>
      <c r="X10" s="6"/>
      <c r="Y10" s="36"/>
      <c r="Z10" s="36"/>
      <c r="AA10" s="6"/>
      <c r="AB10" s="6"/>
      <c r="AC10" s="6"/>
      <c r="AD10" s="6"/>
      <c r="AE10" s="6"/>
      <c r="AF10" s="6"/>
      <c r="AG10" s="6"/>
      <c r="AH10" s="29"/>
      <c r="AI10" s="6"/>
      <c r="AL10" s="43"/>
    </row>
    <row r="11" spans="1:38" ht="13.5" thickBot="1">
      <c r="A11" s="2" t="s">
        <v>19</v>
      </c>
      <c r="B11" s="8">
        <f t="shared" si="0"/>
        <v>0</v>
      </c>
      <c r="C11" s="65"/>
      <c r="D11" s="65"/>
      <c r="E11" s="65"/>
      <c r="F11" s="65"/>
      <c r="G11" s="65"/>
      <c r="H11" s="65"/>
      <c r="I11" s="6"/>
      <c r="J11" s="29"/>
      <c r="K11" s="65"/>
      <c r="L11" s="6"/>
      <c r="M11" s="29"/>
      <c r="N11" s="65"/>
      <c r="O11" s="65"/>
      <c r="P11" s="6"/>
      <c r="Q11" s="65"/>
      <c r="R11" s="65"/>
      <c r="S11" s="65"/>
      <c r="T11" s="65"/>
      <c r="U11" s="6"/>
      <c r="V11" s="29"/>
      <c r="W11" s="6"/>
      <c r="X11" s="6"/>
      <c r="Y11" s="36"/>
      <c r="Z11" s="36"/>
      <c r="AA11" s="6"/>
      <c r="AB11" s="6"/>
      <c r="AC11" s="6"/>
      <c r="AD11" s="6"/>
      <c r="AE11" s="6"/>
      <c r="AF11" s="6"/>
      <c r="AG11" s="6"/>
      <c r="AH11" s="29"/>
      <c r="AI11" s="6"/>
      <c r="AL11" s="43"/>
    </row>
    <row r="12" spans="1:38" ht="13.5" thickBot="1">
      <c r="A12" s="2" t="s">
        <v>20</v>
      </c>
      <c r="B12" s="8">
        <f t="shared" si="0"/>
        <v>0</v>
      </c>
      <c r="C12" s="65"/>
      <c r="D12" s="65"/>
      <c r="E12" s="65"/>
      <c r="F12" s="65"/>
      <c r="G12" s="65"/>
      <c r="H12" s="65"/>
      <c r="I12" s="6"/>
      <c r="J12" s="29"/>
      <c r="K12" s="65"/>
      <c r="L12" s="6"/>
      <c r="M12" s="29"/>
      <c r="N12" s="65"/>
      <c r="O12" s="65"/>
      <c r="P12" s="6"/>
      <c r="Q12" s="65"/>
      <c r="R12" s="65"/>
      <c r="S12" s="65"/>
      <c r="T12" s="65"/>
      <c r="U12" s="6"/>
      <c r="V12" s="29"/>
      <c r="W12" s="6"/>
      <c r="X12" s="6"/>
      <c r="Y12" s="36"/>
      <c r="Z12" s="36"/>
      <c r="AA12" s="6"/>
      <c r="AB12" s="6"/>
      <c r="AC12" s="6"/>
      <c r="AD12" s="6"/>
      <c r="AE12" s="6"/>
      <c r="AF12" s="6"/>
      <c r="AG12" s="6"/>
      <c r="AH12" s="29"/>
      <c r="AI12" s="6"/>
      <c r="AL12" s="43"/>
    </row>
    <row r="13" spans="1:38" ht="13.5" thickBot="1">
      <c r="A13" s="2" t="s">
        <v>21</v>
      </c>
      <c r="B13" s="8">
        <f t="shared" si="0"/>
        <v>0</v>
      </c>
      <c r="C13" s="65"/>
      <c r="D13" s="65"/>
      <c r="E13" s="65"/>
      <c r="F13" s="65"/>
      <c r="G13" s="65"/>
      <c r="H13" s="65"/>
      <c r="I13" s="6"/>
      <c r="J13" s="29"/>
      <c r="K13" s="65"/>
      <c r="L13" s="6"/>
      <c r="M13" s="29"/>
      <c r="N13" s="65"/>
      <c r="O13" s="65"/>
      <c r="P13" s="6"/>
      <c r="Q13" s="65"/>
      <c r="R13" s="65"/>
      <c r="S13" s="65"/>
      <c r="T13" s="65"/>
      <c r="U13" s="6"/>
      <c r="V13" s="29"/>
      <c r="W13" s="6"/>
      <c r="X13" s="6"/>
      <c r="Y13" s="36"/>
      <c r="Z13" s="36"/>
      <c r="AA13" s="6"/>
      <c r="AB13" s="6"/>
      <c r="AC13" s="6"/>
      <c r="AD13" s="6"/>
      <c r="AE13" s="6"/>
      <c r="AF13" s="6"/>
      <c r="AG13" s="6"/>
      <c r="AH13" s="29"/>
      <c r="AI13" s="6"/>
      <c r="AL13" s="43"/>
    </row>
    <row r="14" spans="1:38" ht="13.5" thickBot="1">
      <c r="A14" s="2" t="s">
        <v>22</v>
      </c>
      <c r="B14" s="8">
        <f t="shared" si="0"/>
        <v>140</v>
      </c>
      <c r="C14" s="65"/>
      <c r="D14" s="65"/>
      <c r="E14" s="65"/>
      <c r="F14" s="65"/>
      <c r="G14" s="65"/>
      <c r="H14" s="65"/>
      <c r="I14" s="6"/>
      <c r="J14" s="29"/>
      <c r="K14" s="65"/>
      <c r="L14" s="6"/>
      <c r="M14" s="29"/>
      <c r="N14" s="65"/>
      <c r="O14" s="65"/>
      <c r="P14" s="6">
        <v>140</v>
      </c>
      <c r="Q14" s="65"/>
      <c r="R14" s="65"/>
      <c r="S14" s="65"/>
      <c r="T14" s="65"/>
      <c r="U14" s="6"/>
      <c r="V14" s="29"/>
      <c r="W14" s="6"/>
      <c r="X14" s="6"/>
      <c r="Y14" s="36"/>
      <c r="Z14" s="36"/>
      <c r="AA14" s="6"/>
      <c r="AB14" s="6"/>
      <c r="AC14" s="6"/>
      <c r="AD14" s="6"/>
      <c r="AE14" s="6"/>
      <c r="AF14" s="6"/>
      <c r="AG14" s="6"/>
      <c r="AH14" s="29"/>
      <c r="AI14" s="6"/>
      <c r="AL14" s="43"/>
    </row>
    <row r="15" spans="1:38" ht="13.5" thickBot="1">
      <c r="A15" s="2" t="s">
        <v>23</v>
      </c>
      <c r="B15" s="8">
        <f t="shared" si="0"/>
        <v>14</v>
      </c>
      <c r="C15" s="65">
        <v>5</v>
      </c>
      <c r="D15" s="65"/>
      <c r="E15" s="65"/>
      <c r="F15" s="65"/>
      <c r="G15" s="65"/>
      <c r="H15" s="65"/>
      <c r="I15" s="6"/>
      <c r="J15" s="29"/>
      <c r="K15" s="65"/>
      <c r="L15" s="6"/>
      <c r="M15" s="29"/>
      <c r="N15" s="65"/>
      <c r="O15" s="65">
        <v>4</v>
      </c>
      <c r="P15" s="6"/>
      <c r="Q15" s="65">
        <v>5</v>
      </c>
      <c r="R15" s="65"/>
      <c r="S15" s="65"/>
      <c r="T15" s="65"/>
      <c r="U15" s="6"/>
      <c r="V15" s="29"/>
      <c r="W15" s="6"/>
      <c r="X15" s="6"/>
      <c r="Y15" s="36"/>
      <c r="Z15" s="36"/>
      <c r="AA15" s="6"/>
      <c r="AB15" s="6"/>
      <c r="AC15" s="6"/>
      <c r="AD15" s="6"/>
      <c r="AE15" s="6"/>
      <c r="AF15" s="6"/>
      <c r="AG15" s="6"/>
      <c r="AH15" s="29"/>
      <c r="AI15" s="6"/>
      <c r="AL15" s="43"/>
    </row>
    <row r="16" spans="1:38" ht="13.5" thickBot="1">
      <c r="A16" s="2" t="s">
        <v>24</v>
      </c>
      <c r="B16" s="8">
        <f t="shared" si="0"/>
        <v>6</v>
      </c>
      <c r="C16" s="65"/>
      <c r="D16" s="65"/>
      <c r="E16" s="65"/>
      <c r="F16" s="65"/>
      <c r="G16" s="65"/>
      <c r="H16" s="65"/>
      <c r="I16" s="6"/>
      <c r="J16" s="29"/>
      <c r="K16" s="65"/>
      <c r="L16" s="6"/>
      <c r="M16" s="29"/>
      <c r="N16" s="65">
        <v>6</v>
      </c>
      <c r="O16" s="65"/>
      <c r="P16" s="6"/>
      <c r="Q16" s="65"/>
      <c r="R16" s="65"/>
      <c r="S16" s="65"/>
      <c r="T16" s="65"/>
      <c r="U16" s="6"/>
      <c r="V16" s="29"/>
      <c r="W16" s="6"/>
      <c r="X16" s="6"/>
      <c r="Y16" s="36"/>
      <c r="Z16" s="36"/>
      <c r="AA16" s="6"/>
      <c r="AB16" s="6"/>
      <c r="AC16" s="6"/>
      <c r="AD16" s="6"/>
      <c r="AE16" s="6"/>
      <c r="AF16" s="6"/>
      <c r="AG16" s="6"/>
      <c r="AH16" s="29"/>
      <c r="AI16" s="6"/>
      <c r="AL16" s="43"/>
    </row>
    <row r="17" spans="1:38" ht="13.5" thickBot="1">
      <c r="A17" s="2" t="s">
        <v>54</v>
      </c>
      <c r="B17" s="8">
        <f t="shared" si="0"/>
        <v>156</v>
      </c>
      <c r="C17" s="65">
        <v>132</v>
      </c>
      <c r="D17" s="65"/>
      <c r="E17" s="65"/>
      <c r="F17" s="65"/>
      <c r="G17" s="65"/>
      <c r="H17" s="65"/>
      <c r="I17" s="6"/>
      <c r="J17" s="29"/>
      <c r="K17" s="65"/>
      <c r="L17" s="6"/>
      <c r="M17" s="29"/>
      <c r="N17" s="65"/>
      <c r="O17" s="65"/>
      <c r="P17" s="6"/>
      <c r="Q17" s="65">
        <v>24</v>
      </c>
      <c r="R17" s="65"/>
      <c r="S17" s="65"/>
      <c r="T17" s="65"/>
      <c r="U17" s="6"/>
      <c r="V17" s="29"/>
      <c r="W17" s="6"/>
      <c r="X17" s="6"/>
      <c r="Y17" s="36"/>
      <c r="Z17" s="36"/>
      <c r="AA17" s="6"/>
      <c r="AB17" s="6"/>
      <c r="AC17" s="6"/>
      <c r="AD17" s="6"/>
      <c r="AE17" s="6"/>
      <c r="AF17" s="6"/>
      <c r="AG17" s="6"/>
      <c r="AH17" s="29"/>
      <c r="AI17" s="6"/>
      <c r="AL17" s="43"/>
    </row>
    <row r="18" spans="1:38" ht="13.5" thickBot="1">
      <c r="A18" s="2" t="s">
        <v>25</v>
      </c>
      <c r="B18" s="8">
        <f t="shared" si="0"/>
        <v>0</v>
      </c>
      <c r="C18" s="65"/>
      <c r="D18" s="65"/>
      <c r="E18" s="65"/>
      <c r="F18" s="65"/>
      <c r="G18" s="65"/>
      <c r="H18" s="65"/>
      <c r="I18" s="6"/>
      <c r="J18" s="29"/>
      <c r="K18" s="65"/>
      <c r="L18" s="6"/>
      <c r="M18" s="29"/>
      <c r="N18" s="65"/>
      <c r="O18" s="65"/>
      <c r="P18" s="6"/>
      <c r="Q18" s="65"/>
      <c r="R18" s="65"/>
      <c r="S18" s="65"/>
      <c r="T18" s="65"/>
      <c r="U18" s="6"/>
      <c r="V18" s="29"/>
      <c r="W18" s="6"/>
      <c r="X18" s="6"/>
      <c r="Y18" s="36"/>
      <c r="Z18" s="36"/>
      <c r="AA18" s="6"/>
      <c r="AB18" s="6"/>
      <c r="AC18" s="6"/>
      <c r="AD18" s="6"/>
      <c r="AE18" s="6"/>
      <c r="AF18" s="6"/>
      <c r="AG18" s="6"/>
      <c r="AH18" s="29"/>
      <c r="AI18" s="6"/>
      <c r="AL18" s="43"/>
    </row>
    <row r="19" spans="1:38" ht="13.5" thickBot="1">
      <c r="A19" s="2" t="s">
        <v>26</v>
      </c>
      <c r="B19" s="8">
        <f t="shared" si="0"/>
        <v>0</v>
      </c>
      <c r="C19" s="65"/>
      <c r="D19" s="65"/>
      <c r="E19" s="65"/>
      <c r="F19" s="65"/>
      <c r="G19" s="65"/>
      <c r="H19" s="65"/>
      <c r="I19" s="6"/>
      <c r="J19" s="29"/>
      <c r="K19" s="65"/>
      <c r="L19" s="6"/>
      <c r="M19" s="29"/>
      <c r="N19" s="65"/>
      <c r="O19" s="65"/>
      <c r="P19" s="6"/>
      <c r="Q19" s="65"/>
      <c r="R19" s="65"/>
      <c r="S19" s="65"/>
      <c r="T19" s="65"/>
      <c r="U19" s="6"/>
      <c r="V19" s="29"/>
      <c r="W19" s="6"/>
      <c r="X19" s="6"/>
      <c r="Y19" s="36"/>
      <c r="Z19" s="36"/>
      <c r="AA19" s="6"/>
      <c r="AB19" s="6"/>
      <c r="AC19" s="6"/>
      <c r="AD19" s="6"/>
      <c r="AE19" s="6"/>
      <c r="AF19" s="6"/>
      <c r="AG19" s="6"/>
      <c r="AH19" s="29"/>
      <c r="AI19" s="6"/>
      <c r="AL19" s="43"/>
    </row>
    <row r="20" spans="1:38" ht="13.5" thickBot="1">
      <c r="A20" s="2" t="s">
        <v>27</v>
      </c>
      <c r="B20" s="8">
        <f t="shared" si="0"/>
        <v>0</v>
      </c>
      <c r="C20" s="65"/>
      <c r="D20" s="65"/>
      <c r="E20" s="65"/>
      <c r="F20" s="65"/>
      <c r="G20" s="65"/>
      <c r="H20" s="65"/>
      <c r="I20" s="6"/>
      <c r="J20" s="29"/>
      <c r="K20" s="65"/>
      <c r="L20" s="6"/>
      <c r="M20" s="29"/>
      <c r="N20" s="65"/>
      <c r="O20" s="65"/>
      <c r="P20" s="6"/>
      <c r="Q20" s="65"/>
      <c r="R20" s="65"/>
      <c r="S20" s="65"/>
      <c r="T20" s="65"/>
      <c r="U20" s="6"/>
      <c r="V20" s="29"/>
      <c r="W20" s="6"/>
      <c r="X20" s="6"/>
      <c r="Y20" s="36"/>
      <c r="Z20" s="36"/>
      <c r="AA20" s="6"/>
      <c r="AB20" s="6"/>
      <c r="AC20" s="6"/>
      <c r="AD20" s="6"/>
      <c r="AE20" s="6"/>
      <c r="AF20" s="6"/>
      <c r="AG20" s="6"/>
      <c r="AH20" s="29"/>
      <c r="AI20" s="6"/>
      <c r="AL20" s="43"/>
    </row>
    <row r="21" spans="1:38" ht="13.5" thickBot="1">
      <c r="A21" s="2" t="s">
        <v>14</v>
      </c>
      <c r="B21" s="8">
        <f t="shared" si="0"/>
        <v>0</v>
      </c>
      <c r="C21" s="65"/>
      <c r="D21" s="65"/>
      <c r="E21" s="65"/>
      <c r="F21" s="65"/>
      <c r="G21" s="65"/>
      <c r="H21" s="65"/>
      <c r="I21" s="6"/>
      <c r="J21" s="29"/>
      <c r="K21" s="65"/>
      <c r="L21" s="6"/>
      <c r="M21" s="29"/>
      <c r="N21" s="65"/>
      <c r="O21" s="65"/>
      <c r="P21" s="6"/>
      <c r="Q21" s="65"/>
      <c r="R21" s="65"/>
      <c r="S21" s="65"/>
      <c r="T21" s="65"/>
      <c r="U21" s="6"/>
      <c r="V21" s="29"/>
      <c r="W21" s="6"/>
      <c r="X21" s="6"/>
      <c r="Y21" s="36"/>
      <c r="Z21" s="36"/>
      <c r="AA21" s="6"/>
      <c r="AB21" s="6"/>
      <c r="AC21" s="6"/>
      <c r="AD21" s="6"/>
      <c r="AE21" s="6"/>
      <c r="AF21" s="6"/>
      <c r="AG21" s="6"/>
      <c r="AH21" s="29"/>
      <c r="AI21" s="6"/>
      <c r="AL21" s="43"/>
    </row>
    <row r="22" spans="1:38" ht="13.5" thickBot="1">
      <c r="A22" s="2" t="s">
        <v>28</v>
      </c>
      <c r="B22" s="8">
        <f t="shared" si="0"/>
        <v>0</v>
      </c>
      <c r="C22" s="65"/>
      <c r="D22" s="65"/>
      <c r="E22" s="65"/>
      <c r="F22" s="65"/>
      <c r="G22" s="65"/>
      <c r="H22" s="65"/>
      <c r="I22" s="6"/>
      <c r="J22" s="29"/>
      <c r="K22" s="65"/>
      <c r="L22" s="6"/>
      <c r="M22" s="29"/>
      <c r="N22" s="65"/>
      <c r="O22" s="65"/>
      <c r="P22" s="6"/>
      <c r="Q22" s="65"/>
      <c r="R22" s="65"/>
      <c r="S22" s="65"/>
      <c r="T22" s="65"/>
      <c r="U22" s="6"/>
      <c r="V22" s="29"/>
      <c r="W22" s="6"/>
      <c r="X22" s="6"/>
      <c r="Y22" s="36"/>
      <c r="Z22" s="36"/>
      <c r="AA22" s="6"/>
      <c r="AB22" s="6"/>
      <c r="AC22" s="6"/>
      <c r="AD22" s="6"/>
      <c r="AE22" s="6"/>
      <c r="AF22" s="6"/>
      <c r="AG22" s="6"/>
      <c r="AH22" s="29"/>
      <c r="AI22" s="6"/>
      <c r="AL22" s="43"/>
    </row>
    <row r="23" spans="1:38" ht="13.5" thickBot="1">
      <c r="A23" s="2" t="s">
        <v>29</v>
      </c>
      <c r="B23" s="8">
        <f t="shared" si="0"/>
        <v>0</v>
      </c>
      <c r="C23" s="65"/>
      <c r="D23" s="65"/>
      <c r="E23" s="65"/>
      <c r="F23" s="65"/>
      <c r="G23" s="65"/>
      <c r="H23" s="65"/>
      <c r="I23" s="6"/>
      <c r="J23" s="29"/>
      <c r="K23" s="65"/>
      <c r="L23" s="6"/>
      <c r="M23" s="29"/>
      <c r="N23" s="65"/>
      <c r="O23" s="65"/>
      <c r="P23" s="6"/>
      <c r="Q23" s="65"/>
      <c r="R23" s="65"/>
      <c r="S23" s="65"/>
      <c r="T23" s="65"/>
      <c r="U23" s="6"/>
      <c r="V23" s="29"/>
      <c r="W23" s="6"/>
      <c r="X23" s="6"/>
      <c r="Y23" s="36"/>
      <c r="Z23" s="36"/>
      <c r="AA23" s="6"/>
      <c r="AB23" s="6"/>
      <c r="AC23" s="6"/>
      <c r="AD23" s="6"/>
      <c r="AE23" s="6"/>
      <c r="AF23" s="6"/>
      <c r="AG23" s="6"/>
      <c r="AH23" s="29"/>
      <c r="AI23" s="6"/>
      <c r="AL23" s="43"/>
    </row>
    <row r="24" spans="1:38" ht="13.5" thickBot="1">
      <c r="A24" s="2" t="s">
        <v>30</v>
      </c>
      <c r="B24" s="8">
        <f t="shared" si="0"/>
        <v>0</v>
      </c>
      <c r="C24" s="65"/>
      <c r="D24" s="65"/>
      <c r="E24" s="65"/>
      <c r="F24" s="65"/>
      <c r="G24" s="65"/>
      <c r="H24" s="65"/>
      <c r="I24" s="6"/>
      <c r="J24" s="29"/>
      <c r="K24" s="65"/>
      <c r="L24" s="6"/>
      <c r="M24" s="29"/>
      <c r="N24" s="65"/>
      <c r="O24" s="65"/>
      <c r="P24" s="6"/>
      <c r="Q24" s="65"/>
      <c r="R24" s="65"/>
      <c r="S24" s="65"/>
      <c r="T24" s="65"/>
      <c r="U24" s="6"/>
      <c r="V24" s="29"/>
      <c r="W24" s="6"/>
      <c r="X24" s="6"/>
      <c r="Y24" s="36"/>
      <c r="Z24" s="36"/>
      <c r="AA24" s="6"/>
      <c r="AB24" s="6"/>
      <c r="AC24" s="6"/>
      <c r="AD24" s="6"/>
      <c r="AE24" s="6"/>
      <c r="AF24" s="6"/>
      <c r="AG24" s="6"/>
      <c r="AH24" s="29"/>
      <c r="AI24" s="6"/>
      <c r="AL24" s="43"/>
    </row>
    <row r="25" spans="1:38" ht="13.5" thickBot="1">
      <c r="A25" s="2" t="s">
        <v>31</v>
      </c>
      <c r="B25" s="8">
        <f t="shared" si="0"/>
        <v>0</v>
      </c>
      <c r="C25" s="65"/>
      <c r="D25" s="65"/>
      <c r="E25" s="65"/>
      <c r="F25" s="65"/>
      <c r="G25" s="65"/>
      <c r="H25" s="65"/>
      <c r="I25" s="6"/>
      <c r="J25" s="29"/>
      <c r="K25" s="65"/>
      <c r="L25" s="6"/>
      <c r="M25" s="29"/>
      <c r="N25" s="65"/>
      <c r="O25" s="65"/>
      <c r="P25" s="6"/>
      <c r="Q25" s="65"/>
      <c r="R25" s="65"/>
      <c r="S25" s="65"/>
      <c r="T25" s="65"/>
      <c r="U25" s="6"/>
      <c r="V25" s="29"/>
      <c r="W25" s="6"/>
      <c r="X25" s="6"/>
      <c r="Y25" s="36"/>
      <c r="Z25" s="36"/>
      <c r="AA25" s="6"/>
      <c r="AB25" s="6"/>
      <c r="AC25" s="6"/>
      <c r="AD25" s="6"/>
      <c r="AE25" s="6"/>
      <c r="AF25" s="6"/>
      <c r="AG25" s="6"/>
      <c r="AH25" s="29"/>
      <c r="AI25" s="6"/>
      <c r="AL25" s="43"/>
    </row>
    <row r="26" spans="1:38" ht="13.5" thickBot="1">
      <c r="A26" s="2" t="s">
        <v>32</v>
      </c>
      <c r="B26" s="8">
        <f t="shared" si="0"/>
        <v>0</v>
      </c>
      <c r="C26" s="65"/>
      <c r="D26" s="65"/>
      <c r="E26" s="65"/>
      <c r="F26" s="65"/>
      <c r="G26" s="65"/>
      <c r="H26" s="65"/>
      <c r="I26" s="6"/>
      <c r="J26" s="29"/>
      <c r="K26" s="65"/>
      <c r="L26" s="6"/>
      <c r="M26" s="29"/>
      <c r="N26" s="65"/>
      <c r="O26" s="65"/>
      <c r="P26" s="6"/>
      <c r="Q26" s="65"/>
      <c r="R26" s="65"/>
      <c r="S26" s="65"/>
      <c r="T26" s="65"/>
      <c r="U26" s="6"/>
      <c r="V26" s="29"/>
      <c r="W26" s="6"/>
      <c r="X26" s="6"/>
      <c r="Y26" s="36"/>
      <c r="Z26" s="36"/>
      <c r="AA26" s="6"/>
      <c r="AB26" s="6"/>
      <c r="AC26" s="6"/>
      <c r="AD26" s="6"/>
      <c r="AE26" s="6"/>
      <c r="AF26" s="6"/>
      <c r="AG26" s="6"/>
      <c r="AH26" s="29"/>
      <c r="AI26" s="6"/>
      <c r="AL26" s="43"/>
    </row>
    <row r="27" spans="1:38" ht="13.5" thickBot="1">
      <c r="A27" s="2" t="s">
        <v>33</v>
      </c>
      <c r="B27" s="8">
        <f t="shared" si="0"/>
        <v>23.1</v>
      </c>
      <c r="C27" s="65">
        <v>23.1</v>
      </c>
      <c r="D27" s="65"/>
      <c r="E27" s="65"/>
      <c r="F27" s="65"/>
      <c r="G27" s="65"/>
      <c r="H27" s="65"/>
      <c r="I27" s="6"/>
      <c r="J27" s="29"/>
      <c r="K27" s="65"/>
      <c r="L27" s="6"/>
      <c r="M27" s="29"/>
      <c r="N27" s="65"/>
      <c r="O27" s="65"/>
      <c r="P27" s="6"/>
      <c r="Q27" s="65"/>
      <c r="R27" s="65"/>
      <c r="S27" s="65"/>
      <c r="T27" s="65"/>
      <c r="U27" s="6"/>
      <c r="V27" s="29"/>
      <c r="W27" s="6"/>
      <c r="X27" s="6"/>
      <c r="Y27" s="36"/>
      <c r="Z27" s="36"/>
      <c r="AA27" s="6"/>
      <c r="AB27" s="6"/>
      <c r="AC27" s="6"/>
      <c r="AD27" s="6"/>
      <c r="AE27" s="6"/>
      <c r="AF27" s="6"/>
      <c r="AG27" s="6"/>
      <c r="AH27" s="29"/>
      <c r="AI27" s="6"/>
      <c r="AL27" s="43"/>
    </row>
    <row r="28" spans="1:38" ht="13.5" thickBot="1">
      <c r="A28" s="2" t="s">
        <v>34</v>
      </c>
      <c r="B28" s="8">
        <f t="shared" si="0"/>
        <v>0</v>
      </c>
      <c r="C28" s="65"/>
      <c r="D28" s="65"/>
      <c r="E28" s="65"/>
      <c r="F28" s="65"/>
      <c r="G28" s="65"/>
      <c r="H28" s="65"/>
      <c r="I28" s="6"/>
      <c r="J28" s="29"/>
      <c r="K28" s="65"/>
      <c r="L28" s="6"/>
      <c r="M28" s="29"/>
      <c r="N28" s="65"/>
      <c r="O28" s="65"/>
      <c r="P28" s="6"/>
      <c r="Q28" s="65"/>
      <c r="R28" s="65"/>
      <c r="S28" s="65"/>
      <c r="T28" s="65"/>
      <c r="U28" s="6"/>
      <c r="V28" s="29"/>
      <c r="W28" s="6"/>
      <c r="X28" s="6"/>
      <c r="Y28" s="36"/>
      <c r="Z28" s="36"/>
      <c r="AA28" s="6"/>
      <c r="AB28" s="6"/>
      <c r="AC28" s="6"/>
      <c r="AD28" s="6"/>
      <c r="AE28" s="6"/>
      <c r="AF28" s="6"/>
      <c r="AG28" s="6"/>
      <c r="AH28" s="29"/>
      <c r="AI28" s="6"/>
      <c r="AL28" s="43"/>
    </row>
    <row r="29" spans="1:38" ht="13.5" thickBot="1">
      <c r="A29" s="2" t="s">
        <v>35</v>
      </c>
      <c r="B29" s="8">
        <f t="shared" si="0"/>
        <v>0</v>
      </c>
      <c r="C29" s="65"/>
      <c r="D29" s="65"/>
      <c r="E29" s="65"/>
      <c r="F29" s="65"/>
      <c r="G29" s="65"/>
      <c r="H29" s="65"/>
      <c r="I29" s="6"/>
      <c r="J29" s="29"/>
      <c r="K29" s="65"/>
      <c r="L29" s="6"/>
      <c r="M29" s="29"/>
      <c r="N29" s="65"/>
      <c r="O29" s="65"/>
      <c r="P29" s="6"/>
      <c r="Q29" s="65"/>
      <c r="R29" s="65"/>
      <c r="S29" s="65"/>
      <c r="T29" s="65"/>
      <c r="U29" s="6"/>
      <c r="V29" s="29"/>
      <c r="W29" s="6"/>
      <c r="X29" s="6"/>
      <c r="Y29" s="36"/>
      <c r="Z29" s="36"/>
      <c r="AA29" s="6"/>
      <c r="AB29" s="6"/>
      <c r="AC29" s="6"/>
      <c r="AD29" s="6"/>
      <c r="AE29" s="6"/>
      <c r="AF29" s="6"/>
      <c r="AG29" s="6"/>
      <c r="AH29" s="29"/>
      <c r="AI29" s="6"/>
      <c r="AL29" s="43"/>
    </row>
    <row r="30" spans="1:38" ht="13.5" thickBot="1">
      <c r="A30" s="2" t="s">
        <v>36</v>
      </c>
      <c r="B30" s="8">
        <f t="shared" si="0"/>
        <v>0</v>
      </c>
      <c r="C30" s="65"/>
      <c r="D30" s="65"/>
      <c r="E30" s="65"/>
      <c r="F30" s="65"/>
      <c r="G30" s="65"/>
      <c r="H30" s="65"/>
      <c r="I30" s="6"/>
      <c r="J30" s="29"/>
      <c r="K30" s="65"/>
      <c r="L30" s="6"/>
      <c r="M30" s="29"/>
      <c r="N30" s="65"/>
      <c r="O30" s="65"/>
      <c r="P30" s="6"/>
      <c r="Q30" s="65"/>
      <c r="R30" s="65"/>
      <c r="S30" s="65"/>
      <c r="T30" s="65"/>
      <c r="U30" s="6"/>
      <c r="V30" s="29"/>
      <c r="W30" s="6"/>
      <c r="X30" s="6"/>
      <c r="Y30" s="36"/>
      <c r="Z30" s="36"/>
      <c r="AA30" s="6"/>
      <c r="AB30" s="6"/>
      <c r="AC30" s="6"/>
      <c r="AD30" s="6"/>
      <c r="AE30" s="6"/>
      <c r="AF30" s="6"/>
      <c r="AG30" s="6"/>
      <c r="AH30" s="29"/>
      <c r="AI30" s="6"/>
      <c r="AL30" s="43"/>
    </row>
    <row r="31" spans="1:38" ht="13.5" thickBot="1">
      <c r="A31" s="2" t="s">
        <v>37</v>
      </c>
      <c r="B31" s="8">
        <f t="shared" si="0"/>
        <v>16</v>
      </c>
      <c r="C31" s="65"/>
      <c r="D31" s="65"/>
      <c r="E31" s="65"/>
      <c r="F31" s="65"/>
      <c r="G31" s="65"/>
      <c r="H31" s="65"/>
      <c r="I31" s="6"/>
      <c r="J31" s="29"/>
      <c r="K31" s="65"/>
      <c r="L31" s="6"/>
      <c r="M31" s="29"/>
      <c r="N31" s="65"/>
      <c r="O31" s="65">
        <v>16</v>
      </c>
      <c r="P31" s="6"/>
      <c r="Q31" s="65"/>
      <c r="R31" s="65"/>
      <c r="S31" s="65"/>
      <c r="T31" s="65"/>
      <c r="U31" s="6"/>
      <c r="V31" s="29"/>
      <c r="W31" s="6"/>
      <c r="X31" s="6"/>
      <c r="Y31" s="36"/>
      <c r="Z31" s="36"/>
      <c r="AA31" s="6"/>
      <c r="AB31" s="6"/>
      <c r="AC31" s="6"/>
      <c r="AD31" s="6"/>
      <c r="AE31" s="6"/>
      <c r="AF31" s="6"/>
      <c r="AG31" s="6"/>
      <c r="AH31" s="29"/>
      <c r="AI31" s="6"/>
      <c r="AL31" s="43"/>
    </row>
    <row r="32" spans="1:38" ht="13.5" thickBot="1">
      <c r="A32" s="2" t="s">
        <v>38</v>
      </c>
      <c r="B32" s="8">
        <f t="shared" si="0"/>
        <v>35</v>
      </c>
      <c r="C32" s="65"/>
      <c r="D32" s="65"/>
      <c r="E32" s="65"/>
      <c r="F32" s="65">
        <v>15</v>
      </c>
      <c r="G32" s="65"/>
      <c r="H32" s="65"/>
      <c r="I32" s="6"/>
      <c r="J32" s="29"/>
      <c r="K32" s="65"/>
      <c r="L32" s="6"/>
      <c r="M32" s="29"/>
      <c r="N32" s="65"/>
      <c r="O32" s="65"/>
      <c r="P32" s="6"/>
      <c r="Q32" s="65"/>
      <c r="R32" s="65">
        <v>20</v>
      </c>
      <c r="S32" s="65"/>
      <c r="T32" s="65"/>
      <c r="U32" s="6"/>
      <c r="V32" s="29"/>
      <c r="W32" s="6"/>
      <c r="X32" s="6"/>
      <c r="Y32" s="36"/>
      <c r="Z32" s="36"/>
      <c r="AA32" s="6"/>
      <c r="AB32" s="6"/>
      <c r="AC32" s="6"/>
      <c r="AD32" s="6"/>
      <c r="AE32" s="6"/>
      <c r="AF32" s="6"/>
      <c r="AG32" s="6"/>
      <c r="AH32" s="29"/>
      <c r="AI32" s="6"/>
      <c r="AL32" s="43"/>
    </row>
    <row r="33" spans="1:38" ht="13.5" thickBot="1">
      <c r="A33" s="2" t="s">
        <v>39</v>
      </c>
      <c r="B33" s="8">
        <f t="shared" si="0"/>
        <v>0</v>
      </c>
      <c r="C33" s="65"/>
      <c r="D33" s="65"/>
      <c r="E33" s="65"/>
      <c r="F33" s="65"/>
      <c r="G33" s="65"/>
      <c r="H33" s="65"/>
      <c r="I33" s="6"/>
      <c r="J33" s="29"/>
      <c r="K33" s="65"/>
      <c r="L33" s="6"/>
      <c r="M33" s="29"/>
      <c r="N33" s="65"/>
      <c r="O33" s="65"/>
      <c r="P33" s="6"/>
      <c r="Q33" s="65"/>
      <c r="R33" s="65"/>
      <c r="S33" s="65"/>
      <c r="T33" s="65"/>
      <c r="U33" s="6"/>
      <c r="V33" s="29"/>
      <c r="W33" s="6"/>
      <c r="X33" s="6"/>
      <c r="Y33" s="36"/>
      <c r="Z33" s="36"/>
      <c r="AA33" s="6"/>
      <c r="AB33" s="6"/>
      <c r="AC33" s="6"/>
      <c r="AD33" s="6"/>
      <c r="AE33" s="6"/>
      <c r="AF33" s="6"/>
      <c r="AG33" s="6"/>
      <c r="AH33" s="29"/>
      <c r="AI33" s="6"/>
      <c r="AL33" s="43"/>
    </row>
    <row r="34" spans="1:38" ht="13.5" thickBot="1">
      <c r="A34" s="2" t="s">
        <v>40</v>
      </c>
      <c r="B34" s="8">
        <f t="shared" si="0"/>
        <v>0</v>
      </c>
      <c r="C34" s="65"/>
      <c r="D34" s="65"/>
      <c r="E34" s="65"/>
      <c r="F34" s="65"/>
      <c r="G34" s="65"/>
      <c r="H34" s="65"/>
      <c r="I34" s="6"/>
      <c r="J34" s="29"/>
      <c r="K34" s="65"/>
      <c r="L34" s="6"/>
      <c r="M34" s="29"/>
      <c r="N34" s="65"/>
      <c r="O34" s="65"/>
      <c r="P34" s="6"/>
      <c r="Q34" s="65"/>
      <c r="R34" s="65"/>
      <c r="S34" s="65"/>
      <c r="T34" s="65"/>
      <c r="U34" s="6"/>
      <c r="V34" s="29"/>
      <c r="W34" s="6"/>
      <c r="X34" s="6"/>
      <c r="Y34" s="36"/>
      <c r="Z34" s="36"/>
      <c r="AA34" s="6"/>
      <c r="AB34" s="6"/>
      <c r="AC34" s="6"/>
      <c r="AD34" s="6"/>
      <c r="AE34" s="6"/>
      <c r="AF34" s="6"/>
      <c r="AG34" s="6"/>
      <c r="AH34" s="29"/>
      <c r="AI34" s="6"/>
      <c r="AL34" s="43"/>
    </row>
    <row r="35" spans="1:38" ht="13.5" thickBot="1">
      <c r="A35" s="2" t="s">
        <v>41</v>
      </c>
      <c r="B35" s="8">
        <f t="shared" si="0"/>
        <v>20</v>
      </c>
      <c r="C35" s="65"/>
      <c r="D35" s="65"/>
      <c r="E35" s="65"/>
      <c r="F35" s="65"/>
      <c r="G35" s="65"/>
      <c r="H35" s="65"/>
      <c r="I35" s="6"/>
      <c r="J35" s="29"/>
      <c r="K35" s="65"/>
      <c r="L35" s="6"/>
      <c r="M35" s="29"/>
      <c r="N35" s="65"/>
      <c r="O35" s="65"/>
      <c r="P35" s="6"/>
      <c r="Q35" s="65"/>
      <c r="R35" s="65">
        <v>20</v>
      </c>
      <c r="S35" s="65"/>
      <c r="T35" s="65"/>
      <c r="U35" s="6"/>
      <c r="V35" s="29"/>
      <c r="W35" s="6"/>
      <c r="X35" s="6"/>
      <c r="Y35" s="36"/>
      <c r="Z35" s="36"/>
      <c r="AA35" s="6"/>
      <c r="AB35" s="6"/>
      <c r="AC35" s="6"/>
      <c r="AD35" s="6"/>
      <c r="AE35" s="6"/>
      <c r="AF35" s="6"/>
      <c r="AG35" s="6"/>
      <c r="AH35" s="29"/>
      <c r="AI35" s="6"/>
      <c r="AL35" s="43"/>
    </row>
    <row r="36" spans="1:38" ht="13.5" thickBot="1">
      <c r="A36" s="2" t="s">
        <v>42</v>
      </c>
      <c r="B36" s="8">
        <f t="shared" si="0"/>
        <v>175</v>
      </c>
      <c r="C36" s="65"/>
      <c r="D36" s="65"/>
      <c r="E36" s="65"/>
      <c r="F36" s="65"/>
      <c r="G36" s="65">
        <v>175</v>
      </c>
      <c r="H36" s="65"/>
      <c r="I36" s="6"/>
      <c r="J36" s="29"/>
      <c r="K36" s="65"/>
      <c r="L36" s="6"/>
      <c r="M36" s="29"/>
      <c r="N36" s="65"/>
      <c r="O36" s="65"/>
      <c r="P36" s="6"/>
      <c r="Q36" s="65"/>
      <c r="R36" s="65"/>
      <c r="S36" s="65"/>
      <c r="T36" s="65"/>
      <c r="U36" s="6"/>
      <c r="V36" s="29"/>
      <c r="W36" s="6"/>
      <c r="X36" s="6"/>
      <c r="Y36" s="36"/>
      <c r="Z36" s="36"/>
      <c r="AA36" s="6"/>
      <c r="AB36" s="6"/>
      <c r="AC36" s="6"/>
      <c r="AD36" s="6"/>
      <c r="AE36" s="6"/>
      <c r="AF36" s="6"/>
      <c r="AG36" s="6"/>
      <c r="AH36" s="29"/>
      <c r="AI36" s="6"/>
      <c r="AL36" s="43"/>
    </row>
    <row r="37" spans="1:38" ht="13.5" thickBot="1">
      <c r="A37" s="2" t="s">
        <v>43</v>
      </c>
      <c r="B37" s="8">
        <f t="shared" si="0"/>
        <v>242</v>
      </c>
      <c r="C37" s="65"/>
      <c r="D37" s="65"/>
      <c r="E37" s="65"/>
      <c r="F37" s="65"/>
      <c r="G37" s="65"/>
      <c r="H37" s="65"/>
      <c r="I37" s="6"/>
      <c r="J37" s="29"/>
      <c r="K37" s="65"/>
      <c r="L37" s="6"/>
      <c r="M37" s="29"/>
      <c r="N37" s="65">
        <v>17.399999999999999</v>
      </c>
      <c r="O37" s="65">
        <v>53.6</v>
      </c>
      <c r="P37" s="6"/>
      <c r="Q37" s="65">
        <v>171</v>
      </c>
      <c r="R37" s="65"/>
      <c r="S37" s="65"/>
      <c r="T37" s="65"/>
      <c r="U37" s="6"/>
      <c r="V37" s="29"/>
      <c r="W37" s="6"/>
      <c r="X37" s="6"/>
      <c r="Y37" s="36"/>
      <c r="Z37" s="36"/>
      <c r="AA37" s="6"/>
      <c r="AB37" s="6"/>
      <c r="AC37" s="6"/>
      <c r="AD37" s="6"/>
      <c r="AE37" s="6"/>
      <c r="AF37" s="6"/>
      <c r="AG37" s="6"/>
      <c r="AH37" s="29"/>
      <c r="AI37" s="6"/>
      <c r="AL37" s="43"/>
    </row>
    <row r="38" spans="1:38" ht="13.5" thickBot="1">
      <c r="A38" s="2" t="s">
        <v>44</v>
      </c>
      <c r="B38" s="8">
        <f t="shared" si="0"/>
        <v>12.6</v>
      </c>
      <c r="C38" s="65"/>
      <c r="D38" s="65"/>
      <c r="E38" s="65"/>
      <c r="F38" s="65"/>
      <c r="G38" s="65"/>
      <c r="H38" s="65"/>
      <c r="I38" s="6"/>
      <c r="J38" s="29"/>
      <c r="K38" s="65"/>
      <c r="L38" s="6"/>
      <c r="M38" s="29"/>
      <c r="N38" s="65">
        <v>12.6</v>
      </c>
      <c r="O38" s="65"/>
      <c r="P38" s="6"/>
      <c r="Q38" s="65"/>
      <c r="R38" s="65"/>
      <c r="S38" s="65"/>
      <c r="T38" s="65"/>
      <c r="U38" s="6"/>
      <c r="V38" s="29"/>
      <c r="W38" s="6"/>
      <c r="X38" s="6"/>
      <c r="Y38" s="36"/>
      <c r="Z38" s="36"/>
      <c r="AA38" s="6"/>
      <c r="AB38" s="6"/>
      <c r="AC38" s="6"/>
      <c r="AD38" s="6"/>
      <c r="AE38" s="6"/>
      <c r="AF38" s="6"/>
      <c r="AG38" s="6"/>
      <c r="AH38" s="29"/>
      <c r="AI38" s="6"/>
      <c r="AL38" s="43"/>
    </row>
    <row r="39" spans="1:38" ht="13.5" thickBot="1">
      <c r="A39" s="2" t="s">
        <v>45</v>
      </c>
      <c r="B39" s="8">
        <f t="shared" si="0"/>
        <v>18.2</v>
      </c>
      <c r="C39" s="65"/>
      <c r="D39" s="65"/>
      <c r="E39" s="65"/>
      <c r="F39" s="65"/>
      <c r="G39" s="65"/>
      <c r="H39" s="65"/>
      <c r="I39" s="6"/>
      <c r="J39" s="29"/>
      <c r="K39" s="65"/>
      <c r="L39" s="6"/>
      <c r="M39" s="29"/>
      <c r="N39" s="65">
        <v>7.8</v>
      </c>
      <c r="O39" s="65">
        <v>10.4</v>
      </c>
      <c r="P39" s="6"/>
      <c r="Q39" s="65"/>
      <c r="R39" s="65"/>
      <c r="S39" s="65"/>
      <c r="T39" s="65"/>
      <c r="U39" s="6"/>
      <c r="V39" s="29"/>
      <c r="W39" s="6"/>
      <c r="X39" s="6"/>
      <c r="Y39" s="36"/>
      <c r="Z39" s="36"/>
      <c r="AA39" s="6"/>
      <c r="AB39" s="6"/>
      <c r="AC39" s="6"/>
      <c r="AD39" s="6"/>
      <c r="AE39" s="6"/>
      <c r="AF39" s="6"/>
      <c r="AG39" s="6"/>
      <c r="AH39" s="29"/>
      <c r="AI39" s="6"/>
      <c r="AL39" s="43"/>
    </row>
    <row r="40" spans="1:38" ht="13.5" thickBot="1">
      <c r="A40" s="2" t="s">
        <v>46</v>
      </c>
      <c r="B40" s="8">
        <f t="shared" si="0"/>
        <v>37.1</v>
      </c>
      <c r="C40" s="65"/>
      <c r="D40" s="65"/>
      <c r="E40" s="65"/>
      <c r="F40" s="65"/>
      <c r="G40" s="65"/>
      <c r="H40" s="65"/>
      <c r="I40" s="6"/>
      <c r="J40" s="29"/>
      <c r="K40" s="65"/>
      <c r="L40" s="6"/>
      <c r="M40" s="29"/>
      <c r="N40" s="65">
        <v>10.8</v>
      </c>
      <c r="O40" s="65">
        <v>12</v>
      </c>
      <c r="P40" s="6">
        <v>14.3</v>
      </c>
      <c r="Q40" s="65"/>
      <c r="R40" s="65"/>
      <c r="S40" s="65"/>
      <c r="T40" s="65"/>
      <c r="U40" s="6"/>
      <c r="V40" s="29"/>
      <c r="W40" s="6"/>
      <c r="X40" s="6"/>
      <c r="Y40" s="36"/>
      <c r="Z40" s="36"/>
      <c r="AA40" s="6"/>
      <c r="AB40" s="6"/>
      <c r="AC40" s="6"/>
      <c r="AD40" s="6"/>
      <c r="AE40" s="6"/>
      <c r="AF40" s="6"/>
      <c r="AG40" s="6"/>
      <c r="AH40" s="29"/>
      <c r="AI40" s="6"/>
      <c r="AL40" s="43"/>
    </row>
    <row r="41" spans="1:38" ht="13.5" thickBot="1">
      <c r="A41" s="2" t="s">
        <v>47</v>
      </c>
      <c r="B41" s="8">
        <f t="shared" si="0"/>
        <v>11.4</v>
      </c>
      <c r="C41" s="65"/>
      <c r="D41" s="65"/>
      <c r="E41" s="65"/>
      <c r="F41" s="65"/>
      <c r="G41" s="65"/>
      <c r="H41" s="65"/>
      <c r="I41" s="6"/>
      <c r="J41" s="29"/>
      <c r="K41" s="65"/>
      <c r="L41" s="6"/>
      <c r="M41" s="29"/>
      <c r="N41" s="65">
        <v>11.4</v>
      </c>
      <c r="O41" s="65"/>
      <c r="P41" s="6"/>
      <c r="Q41" s="65"/>
      <c r="R41" s="65"/>
      <c r="S41" s="65"/>
      <c r="T41" s="65"/>
      <c r="U41" s="6"/>
      <c r="V41" s="29"/>
      <c r="W41" s="6"/>
      <c r="X41" s="6"/>
      <c r="Y41" s="36"/>
      <c r="Z41" s="36"/>
      <c r="AA41" s="6"/>
      <c r="AB41" s="6"/>
      <c r="AC41" s="6"/>
      <c r="AD41" s="6"/>
      <c r="AE41" s="6"/>
      <c r="AF41" s="6"/>
      <c r="AG41" s="6"/>
      <c r="AH41" s="29"/>
      <c r="AI41" s="6"/>
      <c r="AL41" s="43"/>
    </row>
    <row r="42" spans="1:38" ht="13.5" thickBot="1">
      <c r="A42" s="2" t="s">
        <v>48</v>
      </c>
      <c r="B42" s="8">
        <f t="shared" si="0"/>
        <v>0</v>
      </c>
      <c r="C42" s="65"/>
      <c r="D42" s="65"/>
      <c r="E42" s="65"/>
      <c r="F42" s="65"/>
      <c r="G42" s="65"/>
      <c r="H42" s="65"/>
      <c r="I42" s="6"/>
      <c r="J42" s="29"/>
      <c r="K42" s="65"/>
      <c r="L42" s="6"/>
      <c r="M42" s="29"/>
      <c r="N42" s="65"/>
      <c r="O42" s="65"/>
      <c r="P42" s="6"/>
      <c r="Q42" s="65"/>
      <c r="R42" s="65"/>
      <c r="S42" s="65"/>
      <c r="T42" s="65"/>
      <c r="U42" s="6"/>
      <c r="V42" s="29"/>
      <c r="W42" s="6"/>
      <c r="X42" s="6"/>
      <c r="Y42" s="36"/>
      <c r="Z42" s="36"/>
      <c r="AA42" s="6"/>
      <c r="AB42" s="6"/>
      <c r="AC42" s="6"/>
      <c r="AD42" s="6"/>
      <c r="AE42" s="6"/>
      <c r="AF42" s="6"/>
      <c r="AG42" s="6"/>
      <c r="AH42" s="29"/>
      <c r="AI42" s="6"/>
      <c r="AL42" s="43"/>
    </row>
    <row r="43" spans="1:38" ht="13.5" thickBot="1">
      <c r="A43" s="2" t="s">
        <v>49</v>
      </c>
      <c r="B43" s="8">
        <f t="shared" si="0"/>
        <v>11.4</v>
      </c>
      <c r="C43" s="65"/>
      <c r="D43" s="65"/>
      <c r="E43" s="65"/>
      <c r="F43" s="65"/>
      <c r="G43" s="65"/>
      <c r="H43" s="65"/>
      <c r="I43" s="6"/>
      <c r="J43" s="29"/>
      <c r="K43" s="65"/>
      <c r="L43" s="6"/>
      <c r="M43" s="29"/>
      <c r="N43" s="65">
        <v>11.4</v>
      </c>
      <c r="O43" s="65"/>
      <c r="P43" s="6"/>
      <c r="Q43" s="65"/>
      <c r="R43" s="65"/>
      <c r="S43" s="65"/>
      <c r="T43" s="65"/>
      <c r="U43" s="6"/>
      <c r="V43" s="29"/>
      <c r="W43" s="6"/>
      <c r="X43" s="6"/>
      <c r="Y43" s="36"/>
      <c r="Z43" s="36"/>
      <c r="AA43" s="6"/>
      <c r="AB43" s="6"/>
      <c r="AC43" s="6"/>
      <c r="AD43" s="6"/>
      <c r="AE43" s="6"/>
      <c r="AF43" s="6"/>
      <c r="AG43" s="6"/>
      <c r="AH43" s="29"/>
      <c r="AI43" s="6"/>
      <c r="AL43" s="43"/>
    </row>
    <row r="44" spans="1:38" ht="13.5" thickBot="1">
      <c r="A44" s="2" t="s">
        <v>2</v>
      </c>
      <c r="B44" s="8">
        <f t="shared" si="0"/>
        <v>70</v>
      </c>
      <c r="C44" s="65"/>
      <c r="D44" s="65"/>
      <c r="E44" s="65">
        <v>20</v>
      </c>
      <c r="F44" s="65"/>
      <c r="G44" s="65"/>
      <c r="H44" s="65"/>
      <c r="I44" s="6"/>
      <c r="J44" s="29"/>
      <c r="K44" s="65"/>
      <c r="L44" s="6"/>
      <c r="M44" s="29"/>
      <c r="N44" s="65"/>
      <c r="O44" s="65"/>
      <c r="P44" s="6"/>
      <c r="Q44" s="65"/>
      <c r="R44" s="65"/>
      <c r="S44" s="65">
        <v>50</v>
      </c>
      <c r="T44" s="65"/>
      <c r="U44" s="6"/>
      <c r="V44" s="29"/>
      <c r="W44" s="6"/>
      <c r="X44" s="6"/>
      <c r="Y44" s="36"/>
      <c r="Z44" s="36"/>
      <c r="AA44" s="6"/>
      <c r="AB44" s="6"/>
      <c r="AC44" s="6"/>
      <c r="AD44" s="6"/>
      <c r="AE44" s="6"/>
      <c r="AF44" s="6"/>
      <c r="AG44" s="6"/>
      <c r="AH44" s="29"/>
      <c r="AI44" s="6"/>
      <c r="AL44" s="43"/>
    </row>
    <row r="45" spans="1:38" ht="13.5" thickBot="1">
      <c r="A45" s="2" t="s">
        <v>3</v>
      </c>
      <c r="B45" s="8">
        <f t="shared" si="0"/>
        <v>40</v>
      </c>
      <c r="C45" s="65"/>
      <c r="D45" s="65"/>
      <c r="E45" s="65"/>
      <c r="F45" s="65"/>
      <c r="G45" s="65"/>
      <c r="H45" s="65"/>
      <c r="I45" s="6"/>
      <c r="J45" s="29"/>
      <c r="K45" s="65"/>
      <c r="L45" s="6"/>
      <c r="M45" s="29"/>
      <c r="N45" s="65"/>
      <c r="O45" s="65"/>
      <c r="P45" s="6"/>
      <c r="Q45" s="65"/>
      <c r="R45" s="65"/>
      <c r="S45" s="65"/>
      <c r="T45" s="65">
        <v>40</v>
      </c>
      <c r="U45" s="6"/>
      <c r="V45" s="29"/>
      <c r="W45" s="6"/>
      <c r="X45" s="6"/>
      <c r="Y45" s="36"/>
      <c r="Z45" s="36"/>
      <c r="AA45" s="6"/>
      <c r="AB45" s="6"/>
      <c r="AC45" s="6"/>
      <c r="AD45" s="6"/>
      <c r="AE45" s="6"/>
      <c r="AF45" s="6"/>
      <c r="AG45" s="6"/>
      <c r="AH45" s="29"/>
      <c r="AI45" s="6"/>
      <c r="AL45" s="43"/>
    </row>
    <row r="46" spans="1:38" ht="13.5" thickBot="1">
      <c r="A46" s="2" t="s">
        <v>50</v>
      </c>
      <c r="B46" s="8">
        <f t="shared" si="0"/>
        <v>0</v>
      </c>
      <c r="C46" s="65"/>
      <c r="D46" s="65"/>
      <c r="E46" s="65"/>
      <c r="F46" s="65"/>
      <c r="G46" s="65"/>
      <c r="H46" s="65"/>
      <c r="I46" s="6"/>
      <c r="J46" s="29"/>
      <c r="K46" s="65"/>
      <c r="L46" s="6"/>
      <c r="M46" s="29"/>
      <c r="N46" s="65"/>
      <c r="O46" s="65"/>
      <c r="P46" s="6"/>
      <c r="Q46" s="65"/>
      <c r="R46" s="65"/>
      <c r="S46" s="65"/>
      <c r="T46" s="65"/>
      <c r="U46" s="6"/>
      <c r="V46" s="29"/>
      <c r="W46" s="6"/>
      <c r="X46" s="6"/>
      <c r="Y46" s="36"/>
      <c r="Z46" s="36"/>
      <c r="AA46" s="6"/>
      <c r="AB46" s="6"/>
      <c r="AC46" s="6"/>
      <c r="AD46" s="6"/>
      <c r="AE46" s="6"/>
      <c r="AF46" s="6"/>
      <c r="AG46" s="6"/>
      <c r="AH46" s="29"/>
      <c r="AI46" s="6"/>
      <c r="AL46" s="43"/>
    </row>
    <row r="47" spans="1:38" ht="13.5" thickBot="1">
      <c r="A47" s="2" t="s">
        <v>51</v>
      </c>
      <c r="B47" s="8">
        <f t="shared" si="0"/>
        <v>1</v>
      </c>
      <c r="C47" s="65"/>
      <c r="D47" s="65"/>
      <c r="E47" s="65"/>
      <c r="F47" s="65">
        <v>1</v>
      </c>
      <c r="G47" s="65"/>
      <c r="H47" s="65"/>
      <c r="I47" s="6"/>
      <c r="J47" s="29"/>
      <c r="K47" s="65"/>
      <c r="L47" s="6"/>
      <c r="M47" s="29"/>
      <c r="N47" s="65"/>
      <c r="O47" s="65"/>
      <c r="P47" s="6"/>
      <c r="Q47" s="65"/>
      <c r="R47" s="65"/>
      <c r="S47" s="65"/>
      <c r="T47" s="65"/>
      <c r="U47" s="6"/>
      <c r="V47" s="29"/>
      <c r="W47" s="6"/>
      <c r="X47" s="6"/>
      <c r="Y47" s="36"/>
      <c r="Z47" s="36"/>
      <c r="AA47" s="6"/>
      <c r="AB47" s="6"/>
      <c r="AC47" s="6"/>
      <c r="AD47" s="6"/>
      <c r="AE47" s="6"/>
      <c r="AF47" s="6"/>
      <c r="AG47" s="6"/>
      <c r="AH47" s="29"/>
      <c r="AI47" s="6"/>
      <c r="AL47" s="43"/>
    </row>
    <row r="48" spans="1:38" ht="13.5" thickBot="1">
      <c r="A48" s="2" t="s">
        <v>52</v>
      </c>
      <c r="B48" s="8">
        <f t="shared" si="0"/>
        <v>0</v>
      </c>
      <c r="C48" s="65"/>
      <c r="D48" s="65"/>
      <c r="E48" s="65"/>
      <c r="F48" s="65"/>
      <c r="G48" s="65"/>
      <c r="H48" s="65"/>
      <c r="I48" s="6"/>
      <c r="J48" s="29"/>
      <c r="K48" s="65"/>
      <c r="L48" s="6"/>
      <c r="M48" s="29"/>
      <c r="N48" s="65"/>
      <c r="O48" s="65"/>
      <c r="P48" s="6"/>
      <c r="Q48" s="65"/>
      <c r="R48" s="65"/>
      <c r="S48" s="65"/>
      <c r="T48" s="65"/>
      <c r="U48" s="6"/>
      <c r="V48" s="29"/>
      <c r="W48" s="6"/>
      <c r="X48" s="6"/>
      <c r="Y48" s="36"/>
      <c r="Z48" s="36"/>
      <c r="AA48" s="6"/>
      <c r="AB48" s="6"/>
      <c r="AC48" s="6"/>
      <c r="AD48" s="6"/>
      <c r="AE48" s="6"/>
      <c r="AF48" s="6"/>
      <c r="AG48" s="6"/>
      <c r="AH48" s="29"/>
      <c r="AI48" s="6"/>
      <c r="AL48" s="43"/>
    </row>
    <row r="49" spans="1:38" ht="13.5" thickBot="1">
      <c r="A49" s="2" t="s">
        <v>13</v>
      </c>
      <c r="B49" s="8">
        <f t="shared" si="0"/>
        <v>0</v>
      </c>
      <c r="C49" s="65"/>
      <c r="D49" s="65"/>
      <c r="E49" s="65"/>
      <c r="F49" s="65"/>
      <c r="G49" s="65"/>
      <c r="H49" s="65"/>
      <c r="I49" s="6"/>
      <c r="J49" s="29"/>
      <c r="K49" s="65"/>
      <c r="L49" s="6"/>
      <c r="M49" s="29"/>
      <c r="N49" s="65"/>
      <c r="O49" s="65"/>
      <c r="P49" s="6"/>
      <c r="Q49" s="65"/>
      <c r="R49" s="65"/>
      <c r="S49" s="65"/>
      <c r="T49" s="65"/>
      <c r="U49" s="6"/>
      <c r="V49" s="29"/>
      <c r="W49" s="6"/>
      <c r="X49" s="6"/>
      <c r="Y49" s="36"/>
      <c r="Z49" s="36"/>
      <c r="AA49" s="6"/>
      <c r="AB49" s="6"/>
      <c r="AC49" s="6"/>
      <c r="AD49" s="6"/>
      <c r="AE49" s="6"/>
      <c r="AF49" s="6"/>
      <c r="AG49" s="6"/>
      <c r="AH49" s="29"/>
      <c r="AI49" s="6"/>
      <c r="AL49" s="43"/>
    </row>
    <row r="50" spans="1:38" ht="13.5" thickBot="1">
      <c r="A50" s="2" t="s">
        <v>53</v>
      </c>
      <c r="B50" s="8">
        <f t="shared" si="0"/>
        <v>0</v>
      </c>
      <c r="C50" s="65"/>
      <c r="D50" s="65"/>
      <c r="E50" s="65"/>
      <c r="F50" s="65"/>
      <c r="G50" s="65"/>
      <c r="H50" s="65"/>
      <c r="I50" s="6"/>
      <c r="J50" s="29"/>
      <c r="K50" s="65"/>
      <c r="L50" s="6"/>
      <c r="M50" s="29"/>
      <c r="N50" s="65"/>
      <c r="O50" s="65"/>
      <c r="P50" s="6"/>
      <c r="Q50" s="65"/>
      <c r="R50" s="65"/>
      <c r="S50" s="65"/>
      <c r="T50" s="65"/>
      <c r="U50" s="6"/>
      <c r="V50" s="29"/>
      <c r="W50" s="6"/>
      <c r="X50" s="6"/>
      <c r="Y50" s="36"/>
      <c r="Z50" s="36"/>
      <c r="AA50" s="6"/>
      <c r="AB50" s="6"/>
      <c r="AC50" s="6"/>
      <c r="AD50" s="6"/>
      <c r="AE50" s="6"/>
      <c r="AF50" s="6"/>
      <c r="AG50" s="6"/>
      <c r="AH50" s="29"/>
      <c r="AI50" s="6"/>
      <c r="AL50" s="43"/>
    </row>
    <row r="51" spans="1:38" ht="26.25" thickBot="1">
      <c r="A51" s="2" t="s">
        <v>115</v>
      </c>
      <c r="B51" s="64">
        <f t="shared" si="0"/>
        <v>181</v>
      </c>
      <c r="C51" s="2"/>
      <c r="D51" s="2">
        <v>181</v>
      </c>
      <c r="E51" s="2"/>
      <c r="F51" s="2"/>
      <c r="G51" s="2"/>
      <c r="H51" s="2"/>
      <c r="I51" s="2"/>
      <c r="J51" s="65"/>
      <c r="K51" s="2"/>
      <c r="L51" s="6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5"/>
      <c r="AI51" s="2"/>
      <c r="AL51" s="46"/>
    </row>
  </sheetData>
  <mergeCells count="20">
    <mergeCell ref="AA4:AH4"/>
    <mergeCell ref="C4:J4"/>
    <mergeCell ref="K4:L4"/>
    <mergeCell ref="N4:V4"/>
    <mergeCell ref="W4:X4"/>
    <mergeCell ref="AB1:AH1"/>
    <mergeCell ref="B1:J1"/>
    <mergeCell ref="K1:L1"/>
    <mergeCell ref="N1:V1"/>
    <mergeCell ref="W1:X1"/>
    <mergeCell ref="AB2:AH2"/>
    <mergeCell ref="B3:J3"/>
    <mergeCell ref="K3:L3"/>
    <mergeCell ref="N3:V3"/>
    <mergeCell ref="W3:X3"/>
    <mergeCell ref="AB3:AH3"/>
    <mergeCell ref="B2:J2"/>
    <mergeCell ref="K2:L2"/>
    <mergeCell ref="N2:V2"/>
    <mergeCell ref="W2:X2"/>
  </mergeCells>
  <phoneticPr fontId="4" type="noConversion"/>
  <pageMargins left="0.16" right="0.16" top="0.2" bottom="0.16" header="0.16" footer="0.15"/>
  <pageSetup paperSize="9" scale="7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51"/>
  <sheetViews>
    <sheetView zoomScale="75" workbookViewId="0">
      <selection activeCell="E5" sqref="E5"/>
    </sheetView>
  </sheetViews>
  <sheetFormatPr defaultRowHeight="12.75"/>
  <cols>
    <col min="1" max="1" width="21.140625" customWidth="1"/>
    <col min="2" max="2" width="6.28515625" customWidth="1"/>
    <col min="3" max="3" width="6.5703125" customWidth="1"/>
    <col min="4" max="4" width="5.85546875" customWidth="1"/>
    <col min="5" max="5" width="7.140625" customWidth="1"/>
    <col min="6" max="6" width="6.42578125" customWidth="1"/>
    <col min="7" max="7" width="5.42578125" customWidth="1"/>
    <col min="8" max="8" width="5.7109375" customWidth="1"/>
    <col min="9" max="9" width="4.42578125" customWidth="1"/>
    <col min="10" max="10" width="1" customWidth="1"/>
    <col min="11" max="11" width="6.42578125" customWidth="1"/>
    <col min="12" max="12" width="5.28515625" customWidth="1"/>
    <col min="13" max="13" width="1.140625" customWidth="1"/>
    <col min="14" max="14" width="5.5703125" customWidth="1"/>
    <col min="15" max="15" width="5.42578125" customWidth="1"/>
    <col min="16" max="16" width="5.85546875" customWidth="1"/>
    <col min="17" max="17" width="5.28515625" customWidth="1"/>
    <col min="18" max="18" width="7" customWidth="1"/>
    <col min="19" max="20" width="5.7109375" customWidth="1"/>
    <col min="21" max="21" width="6" customWidth="1"/>
    <col min="22" max="22" width="0.7109375" customWidth="1"/>
    <col min="23" max="23" width="5.85546875" customWidth="1"/>
    <col min="24" max="24" width="5.7109375" customWidth="1"/>
    <col min="25" max="25" width="5.85546875" customWidth="1"/>
    <col min="26" max="26" width="1" customWidth="1"/>
    <col min="27" max="27" width="5.5703125" customWidth="1"/>
    <col min="28" max="28" width="5.42578125" customWidth="1"/>
    <col min="29" max="29" width="5.85546875" customWidth="1"/>
    <col min="30" max="30" width="6" customWidth="1"/>
    <col min="31" max="32" width="6.140625" customWidth="1"/>
    <col min="33" max="33" width="5.5703125" customWidth="1"/>
    <col min="34" max="34" width="0.85546875" customWidth="1"/>
    <col min="35" max="35" width="5.7109375" customWidth="1"/>
  </cols>
  <sheetData>
    <row r="1" spans="1:37" ht="13.5" thickBot="1">
      <c r="A1" s="1" t="s">
        <v>75</v>
      </c>
      <c r="B1" s="83" t="s">
        <v>89</v>
      </c>
      <c r="C1" s="82"/>
      <c r="D1" s="82"/>
      <c r="E1" s="82"/>
      <c r="F1" s="82"/>
      <c r="G1" s="82"/>
      <c r="H1" s="82"/>
      <c r="I1" s="82"/>
      <c r="J1" s="84"/>
      <c r="K1" s="83"/>
      <c r="L1" s="84"/>
      <c r="M1" s="39"/>
      <c r="N1" s="83" t="s">
        <v>90</v>
      </c>
      <c r="O1" s="82"/>
      <c r="P1" s="82"/>
      <c r="Q1" s="82"/>
      <c r="R1" s="82"/>
      <c r="S1" s="82"/>
      <c r="T1" s="82"/>
      <c r="U1" s="82"/>
      <c r="V1" s="84"/>
      <c r="W1" s="83">
        <v>15</v>
      </c>
      <c r="X1" s="82"/>
      <c r="Y1" s="39"/>
      <c r="Z1" s="38"/>
      <c r="AA1" s="37"/>
      <c r="AB1" s="82"/>
      <c r="AC1" s="82"/>
      <c r="AD1" s="82"/>
      <c r="AE1" s="82"/>
      <c r="AF1" s="82"/>
      <c r="AG1" s="82"/>
      <c r="AH1" s="82"/>
      <c r="AI1" s="39">
        <f>AI3*100/B7</f>
        <v>0</v>
      </c>
    </row>
    <row r="2" spans="1:37" ht="26.25" thickBot="1">
      <c r="A2" s="1" t="s">
        <v>4</v>
      </c>
      <c r="B2" s="77">
        <f>B3*100/2350</f>
        <v>18.722697872340426</v>
      </c>
      <c r="C2" s="73"/>
      <c r="D2" s="73"/>
      <c r="E2" s="73"/>
      <c r="F2" s="73"/>
      <c r="G2" s="73"/>
      <c r="H2" s="73"/>
      <c r="I2" s="73"/>
      <c r="J2" s="78"/>
      <c r="K2" s="77">
        <f>K3*100/B7</f>
        <v>0</v>
      </c>
      <c r="L2" s="78"/>
      <c r="M2" s="10"/>
      <c r="N2" s="77">
        <f>N3*100/2350</f>
        <v>37.183686382978721</v>
      </c>
      <c r="O2" s="73"/>
      <c r="P2" s="73"/>
      <c r="Q2" s="73"/>
      <c r="R2" s="73"/>
      <c r="S2" s="73"/>
      <c r="T2" s="73"/>
      <c r="U2" s="73"/>
      <c r="V2" s="78"/>
      <c r="W2" s="77">
        <f>W3*100/1970</f>
        <v>0</v>
      </c>
      <c r="X2" s="73"/>
      <c r="Y2" s="10"/>
      <c r="Z2" s="9"/>
      <c r="AA2" s="32"/>
      <c r="AB2" s="73">
        <f>AB3*100/B7</f>
        <v>0</v>
      </c>
      <c r="AC2" s="73"/>
      <c r="AD2" s="73"/>
      <c r="AE2" s="73"/>
      <c r="AF2" s="73"/>
      <c r="AG2" s="73"/>
      <c r="AH2" s="73"/>
      <c r="AI2" s="10">
        <f>AI3*100/B7</f>
        <v>0</v>
      </c>
    </row>
    <row r="3" spans="1:37" ht="13.5" thickBot="1">
      <c r="A3" s="2" t="s">
        <v>5</v>
      </c>
      <c r="B3" s="74">
        <f>C7+D7+E7+F7+G7+H7+I7+J7</f>
        <v>439.98340000000002</v>
      </c>
      <c r="C3" s="75"/>
      <c r="D3" s="75"/>
      <c r="E3" s="75"/>
      <c r="F3" s="75"/>
      <c r="G3" s="75"/>
      <c r="H3" s="75"/>
      <c r="I3" s="75"/>
      <c r="J3" s="76"/>
      <c r="K3" s="74">
        <f>K7+L7</f>
        <v>0</v>
      </c>
      <c r="L3" s="76"/>
      <c r="M3" s="11"/>
      <c r="N3" s="74">
        <f>N7+O7+P7+Q7+R7+S7+T7+U7+V7</f>
        <v>873.81662999999992</v>
      </c>
      <c r="O3" s="75"/>
      <c r="P3" s="75"/>
      <c r="Q3" s="75"/>
      <c r="R3" s="75"/>
      <c r="S3" s="75"/>
      <c r="T3" s="75"/>
      <c r="U3" s="75"/>
      <c r="V3" s="76"/>
      <c r="W3" s="74">
        <f>W7+X7</f>
        <v>0</v>
      </c>
      <c r="X3" s="75"/>
      <c r="Y3" s="11"/>
      <c r="Z3" s="12"/>
      <c r="AA3" s="33"/>
      <c r="AB3" s="75">
        <f>Z7+AB7+AC7+AD7+AE7+AF7</f>
        <v>0</v>
      </c>
      <c r="AC3" s="75"/>
      <c r="AD3" s="75"/>
      <c r="AE3" s="75"/>
      <c r="AF3" s="75"/>
      <c r="AG3" s="75"/>
      <c r="AH3" s="75"/>
      <c r="AI3" s="11">
        <f>AI7</f>
        <v>0</v>
      </c>
    </row>
    <row r="4" spans="1:37" ht="15" customHeight="1" thickBot="1">
      <c r="A4" s="2"/>
      <c r="B4" s="3"/>
      <c r="C4" s="79" t="s">
        <v>1</v>
      </c>
      <c r="D4" s="80"/>
      <c r="E4" s="80"/>
      <c r="F4" s="80"/>
      <c r="G4" s="80"/>
      <c r="H4" s="80"/>
      <c r="I4" s="80"/>
      <c r="J4" s="81"/>
      <c r="K4" s="79" t="s">
        <v>6</v>
      </c>
      <c r="L4" s="81"/>
      <c r="M4" s="3"/>
      <c r="N4" s="79" t="s">
        <v>7</v>
      </c>
      <c r="O4" s="80"/>
      <c r="P4" s="80"/>
      <c r="Q4" s="80"/>
      <c r="R4" s="80"/>
      <c r="S4" s="80"/>
      <c r="T4" s="80"/>
      <c r="U4" s="80"/>
      <c r="V4" s="81"/>
      <c r="W4" s="79" t="s">
        <v>8</v>
      </c>
      <c r="X4" s="80"/>
      <c r="Y4" s="3"/>
      <c r="Z4" s="79" t="s">
        <v>9</v>
      </c>
      <c r="AA4" s="80"/>
      <c r="AB4" s="80"/>
      <c r="AC4" s="80"/>
      <c r="AD4" s="80"/>
      <c r="AE4" s="80"/>
      <c r="AF4" s="80"/>
      <c r="AG4" s="80"/>
      <c r="AH4" s="80"/>
      <c r="AI4" s="3" t="s">
        <v>10</v>
      </c>
    </row>
    <row r="5" spans="1:37" ht="120" customHeight="1" thickBot="1">
      <c r="A5" s="2" t="s">
        <v>84</v>
      </c>
      <c r="B5" s="5" t="s">
        <v>11</v>
      </c>
      <c r="C5" s="72" t="s">
        <v>140</v>
      </c>
      <c r="D5" s="72" t="s">
        <v>134</v>
      </c>
      <c r="E5" s="72" t="s">
        <v>96</v>
      </c>
      <c r="F5" s="40" t="s">
        <v>2</v>
      </c>
      <c r="G5" s="5" t="s">
        <v>71</v>
      </c>
      <c r="H5" s="5"/>
      <c r="I5" s="5"/>
      <c r="J5" s="27"/>
      <c r="K5" s="5"/>
      <c r="L5" s="5"/>
      <c r="M5" s="27"/>
      <c r="N5" s="72" t="s">
        <v>145</v>
      </c>
      <c r="O5" s="72" t="s">
        <v>101</v>
      </c>
      <c r="P5" s="72" t="s">
        <v>125</v>
      </c>
      <c r="Q5" s="72" t="s">
        <v>93</v>
      </c>
      <c r="R5" s="5" t="s">
        <v>13</v>
      </c>
      <c r="S5" s="5" t="s">
        <v>2</v>
      </c>
      <c r="T5" s="5" t="s">
        <v>102</v>
      </c>
      <c r="U5" s="5"/>
      <c r="V5" s="27"/>
      <c r="W5" s="5"/>
      <c r="X5" s="5"/>
      <c r="Y5" s="35"/>
      <c r="Z5" s="5"/>
      <c r="AA5" s="40"/>
      <c r="AB5" s="40"/>
      <c r="AC5" s="40"/>
      <c r="AD5" s="5"/>
      <c r="AE5" s="5"/>
      <c r="AF5" s="40"/>
      <c r="AG5" s="42"/>
      <c r="AH5" s="50"/>
      <c r="AI5" s="5"/>
      <c r="AK5" s="44"/>
    </row>
    <row r="6" spans="1:37" ht="13.5" thickBot="1">
      <c r="A6" s="2" t="s">
        <v>15</v>
      </c>
      <c r="B6" s="24"/>
      <c r="C6" s="4">
        <v>150</v>
      </c>
      <c r="D6" s="4">
        <v>12</v>
      </c>
      <c r="E6" s="4">
        <v>200</v>
      </c>
      <c r="F6" s="4">
        <v>20</v>
      </c>
      <c r="G6" s="4">
        <v>10</v>
      </c>
      <c r="H6" s="4"/>
      <c r="I6" s="4"/>
      <c r="J6" s="28"/>
      <c r="K6" s="4"/>
      <c r="L6" s="4"/>
      <c r="M6" s="28"/>
      <c r="N6" s="4">
        <v>60</v>
      </c>
      <c r="O6" s="4">
        <v>200</v>
      </c>
      <c r="P6" s="4">
        <v>80</v>
      </c>
      <c r="Q6" s="4">
        <v>150</v>
      </c>
      <c r="R6" s="4">
        <v>200</v>
      </c>
      <c r="S6" s="4">
        <v>50</v>
      </c>
      <c r="T6" s="4">
        <v>40</v>
      </c>
      <c r="U6" s="4"/>
      <c r="V6" s="28"/>
      <c r="W6" s="4"/>
      <c r="X6" s="4"/>
      <c r="Y6" s="24"/>
      <c r="Z6" s="4"/>
      <c r="AA6" s="4"/>
      <c r="AB6" s="1"/>
      <c r="AC6" s="4"/>
      <c r="AD6" s="4"/>
      <c r="AE6" s="4"/>
      <c r="AF6" s="4"/>
      <c r="AG6" s="1"/>
      <c r="AH6" s="31"/>
      <c r="AI6" s="4"/>
      <c r="AK6" s="45"/>
    </row>
    <row r="7" spans="1:37" ht="13.5" thickBot="1">
      <c r="A7" s="2" t="s">
        <v>0</v>
      </c>
      <c r="B7" s="8">
        <f t="shared" ref="B7:B51" si="0">C7+D7+E7+F7+G7+H7+I7+J7+K7+L7+M7+N7+O7+P7+Q7+R7+S7+T7+U7+V7+W7+X7+Y7+Z7+AA7+AB7+AC7+AD7+AE7+AF7+AG7+AI7</f>
        <v>1313.8000300000001</v>
      </c>
      <c r="C7" s="8">
        <f t="shared" ref="C7:I7" si="1">C8*1.1928+C9*1.1928+C10*1.3875+C11*1.1928+C12*3.01+C13*3.01+C14*0.783+C15*7.09+C16*8.99+C17*0.52+C18*1.18+C19*1.56+C20*3.6+C21*1.3659+C22*3.34+C23*3.68+C24*3.314+C25*3.314+C26*3.314+C27*3.314+C28*3.314+C29*3.314+C30*3.314+C31*3.314+C32*3.74+C34*3.558+C35*0.466+C36*0.396+C37*0.56+C38*0.2744+C39*0.2744+C40*0.2744+C41*0.2744+C42*0.2744+C43*0.2744+C44*2.26+C45*1.81+C46*3.78+C49*0.31+C50*3.69</f>
        <v>180.64340000000001</v>
      </c>
      <c r="D7" s="8">
        <f>D8*1.1928+D9*1.1928+D10*1.3875+D11*1.1928+D12*3.01+D13*3.01+D14*0.783+D15*7.09+D16*8.99+D17*0.52+D18*1.18+D19*1.56+D20*3.6+D21*1.3659+D22*3.34+D23*3.68+D24*3.314+D25*3.314+D26*3.314+D27*3.314+D28*3.314+D29*3.314+D30*3.314+D31*3.314+D32*3.74+D34*3.558+D35*0.466+D36*0.396+D37*0.56+D38*0.2744+D39*0.2744+D40*0.2744+D41*0.2744+D42*0.2744+D43*0.2744+D44*2.26+D45*1.81+D46*3.78+D49*0.31+D50*3.69</f>
        <v>47.519999999999996</v>
      </c>
      <c r="E7" s="8">
        <f>E8*1.1928+E9*1.1928+E10*1.3875+E11*1.1928+E12*3.01+E13*3.01+E14*0.783+E15*7.09+E16*8.99+E17*0.52+E18*1.18+E19*1.56+E20*3.6+E21*1.3659+E22*3.34+E23*3.68+E24*3.314+E25*3.314+E26*3.314+E27*3.314+E28*3.314+E29*3.314+E30*3.314+E31*3.314+E32*3.74+E34*3.558+E35*0.466+E36*0.396+E37*0.56+E38*0.2744+E39*0.2744+E40*0.2744+E41*0.2744+E42*0.2744+E43*0.2744+E44*2.26+E45*1.81+E46*3.78+E49*0.31+E50*3.69</f>
        <v>131.04000000000002</v>
      </c>
      <c r="F7" s="8">
        <f t="shared" si="1"/>
        <v>45.199999999999996</v>
      </c>
      <c r="G7" s="8">
        <f>G8*1.1928+G9*1.1928+G10*1.3875+G11*1.1928+G12*3.01+G13*3.01+G14*0.783+G15*7.09+G16*8.99+G17*0.52+G18*1.18+G19*1.56+G20*3.6+G21*1.3659+G22*3.34+G23*3.68+G24*3.314+G25*3.314+G26*3.314+G27*3.314+G28*3.314+G29*3.314+G30*3.314+G31*3.314+G32*3.74+G34*3.558+G35*0.466+G36*0.396+G37*0.56+G38*0.2744+G39*0.2744+G40*0.2744+G41*0.2744+G42*0.2744+G43*0.2744+G44*2.26+G45*1.81+G46*3.78+G49*0.31+G50*3.69</f>
        <v>35.58</v>
      </c>
      <c r="H7" s="8">
        <f t="shared" si="1"/>
        <v>0</v>
      </c>
      <c r="I7" s="8">
        <f t="shared" si="1"/>
        <v>0</v>
      </c>
      <c r="J7" s="29"/>
      <c r="K7" s="8">
        <f>K8*1.1928+K9*1.1928+K10*1.3875+K11*1.1928+K12*3.01+K13*3.01+K14*0.783+K15*7.09+K16*8.99+K17*0.52+K18*1.18+K19*1.56+K20*3.6+K21*1.3659+K22*3.34+K23*3.68+K24*3.314+K25*3.314+K26*3.314+K27*3.314+K28*3.314+K29*3.314+K30*3.314+K31*3.314+K32*3.74+K34*3.558+K35*0.466+K36*0.396+K37*0.56+K38*0.2744+K39*0.2744+K40*0.2744+K41*0.2744+K42*0.2744+K43*0.2744+K44*2.26+K45*1.81+K46*3.78+K49*0.31+K50*3.69</f>
        <v>0</v>
      </c>
      <c r="L7" s="8">
        <f>L8*1.1928+L9*1.1928+L10*1.3875+L11*1.1928+L12*3.01+L13*3.01+L14*0.783+L15*7.09+L16*8.99+L17*0.52+L18*1.18+L19*1.56+L20*3.6+L21*1.3659+L22*3.34+L23*3.68+L24*3.314+L25*3.314+L26*3.314+L27*3.314+L28*3.314+L29*3.314+L30*3.314+L31*3.314+L32*3.74+L34*3.558+L35*0.466+L36*0.396+L37*0.56+L38*0.2744+L39*0.2744+L40*0.2744+L41*0.2744+L42*0.2744+L43*0.2744+L44*2.26+L45*1.81+L46*3.78+L49*0.31+L50*3.69</f>
        <v>0</v>
      </c>
      <c r="M7" s="29"/>
      <c r="N7" s="8">
        <f>N8*1.1928+N9*1.1928+N10*1.3875+N11*1.1928+N12*3.01+N13*3.01+N14*0.783+N15*7.09+N16*8.99+N17*0.52+N18*1.18+N19*1.56+N20*3.6+N21*1.3659+N22*3.34+N23*3.68+N24*3.314+N25*3.314+N26*3.314+N27*3.314+N28*3.314+N29*3.314+N30*3.314+N31*3.314+N32*3.74+N34*3.558+N35*0.466+N36*0.396+N37*0.56+N38*0.2744+N39*0.2744+N40*0.2744+N41*0.2744+N42*0.2744+N43*0.2744+N44*2.26+N45*1.81+N46*3.78+N49*0.31+N50*3.69</f>
        <v>100.62003</v>
      </c>
      <c r="O7" s="8">
        <f>O8*1.1928+O9*1.1928+O10*1.3875+O11*1.1928+O12*3.01+O13*3.01+O14*0.783+O15*7.09+O16*8.99+O17*0.52+O18*1.18+O19*1.56+O20*3.6+O21*1.3659+O22*3.34+O23*3.68+O24*3.314+O25*3.314+O26*3.314+O27*3.314+O28*3.314+O29*3.314+O30*3.314+O31*3.314+O32*3.74+O34*3.558+O35*0.466+O36*0.396+O37*0.56+O38*0.2744+O39*0.2744+O40*0.2744+O41*0.2744+O42*0.2744+O43*0.2744+O44*2.26+O45*1.81+O46*3.78+O49*0.31+O50*3.69</f>
        <v>110.60639999999999</v>
      </c>
      <c r="P7" s="8">
        <f t="shared" ref="P7:U7" si="2">P8*1.1928+P9*1.1928+P10*1.3875+P11*1.1928+P12*3.01+P13*3.01+P14*0.783+P15*7.09+P16*8.99+P17*0.52+P18*1.18+P19*1.56+P20*3.6+P21*1.3659+P22*3.34+P23*3.68+P24*3.314+P25*3.314+P26*3.314+P27*3.314+P28*3.314+P29*3.314+P30*3.314+P31*3.314+P32*3.74+P34*3.558+P35*0.466+P36*0.396+P37*0.56+P38*0.2744+P39*0.2744+P40*0.2744+P41*0.2744+P42*0.2744+P43*0.2744+P44*2.26+P45*1.81+P46*3.78+P49*0.31+P50*3.69</f>
        <v>205.7552</v>
      </c>
      <c r="Q7" s="8">
        <f t="shared" si="2"/>
        <v>209.435</v>
      </c>
      <c r="R7" s="8">
        <f>R8*1.1928+R9*1.1928+R10*1.3875+R11*1.1928+R12*3.01+R13*3.01+R14*0.783+R15*7.09+R16*8.99+R17*0.52+R18*1.18+R19*1.56+R20*3.6+R21*1.3659+R22*3.34+R23*3.68+R24*3.314+R25*3.314+R26*3.314+R27*3.314+R28*3.314+R29*3.314+R30*3.314+R31*3.314+R32*3.74+R34*3.558+R35*0.466+R36*0.396+R37*0.56+R38*0.2744+R39*0.2744+R40*0.2744+R41*0.2744+R42*0.2744+R43*0.2744+R44*2.26+R45*1.81+R46*3.78+R49*0.31+R50*3.69</f>
        <v>62</v>
      </c>
      <c r="S7" s="8">
        <f t="shared" si="2"/>
        <v>112.99999999999999</v>
      </c>
      <c r="T7" s="8">
        <f t="shared" si="2"/>
        <v>72.400000000000006</v>
      </c>
      <c r="U7" s="8">
        <f t="shared" si="2"/>
        <v>0</v>
      </c>
      <c r="V7" s="29"/>
      <c r="W7" s="8"/>
      <c r="X7" s="8"/>
      <c r="Y7" s="8">
        <f>Y8*1.1928+Y9*1.1928+Y10*1.3875+Y11*1.1928+Y12*3.01+Y13*3.01+Y14*0.783+Y15*7.09+Y16*8.99+Y17*0.52+Y18*1.18+Y19*1.56+Y20*3.6+Y21*1.3659+Y22*3.34+Y23*3.68+Y24*3.314+Y25*3.314+Y26*3.314+Y27*3.314+Y28*3.314+Y29*3.314+Y30*3.314+Y31*3.314+Y32*3.74+Y34*3.558+Y35*0.466+Y36*0.396+Y37*0.56+Y38*0.2744+Y39*0.2744+Y40*0.2744+Y41*0.2744+Y42*0.2744+Y43*0.2744+Y44*2.26+Y45*1.81+Y46*3.78+Y49*0.31+Y50*3.69</f>
        <v>0</v>
      </c>
      <c r="Z7" s="8">
        <f>Z8*1.1928+Z9*1.1928+Z10*1.3875+Z12*3.01+Z13*3.01+Z14*1.363+Z15*7.09+Z16*8.99+Z17*0.52+Z18*2.06+Z19*1.59+Z20*3.6+Z21*1.6095+Z22*3.34+Z23*3.68+Z24*3.314+Z25*3.314+Z26*3.314+Z27*3.314+Z28*3.314+Z29*3.314+Z30*3.314+Z31*3.314+Z32*3.79+Z34*3.558+Z35*0.466+Z36*0.396+Z37*0.56+Z38*0.27+Z39*0.27+Z40*0.27+Z41*0.27+Z42*0.27+Z43*0.27+Z44*2.62+Z45*1.81+Z46*3.78+Z49*0.31+Z50*3.69</f>
        <v>0</v>
      </c>
      <c r="AA7" s="8">
        <f t="shared" ref="AA7:AG7" si="3">AA8*1.1928+AA9*1.1928+AA10*1.3875+AA11*1.1928+AA12*3.01+AA13*3.01+AA14*0.783+AA15*7.09+AA16*8.99+AA17*0.52+AA18*1.18+AA19*1.56+AA20*3.6+AA21*1.3659+AA22*3.34+AA23*3.68+AA24*3.314+AA25*3.314+AA26*3.314+AA27*3.314+AA28*3.314+AA29*3.314+AA30*3.314+AA31*3.314+AA32*3.74+AA34*3.558+AA35*0.466+AA36*0.396+AA37*0.56+AA38*0.2744+AA39*0.2744+AA40*0.2744+AA41*0.2744+AA42*0.2744+AA43*0.2744+AA44*2.26+AA45*1.81+AA46*3.78+AA49*0.31+AA50*3.69</f>
        <v>0</v>
      </c>
      <c r="AB7" s="8">
        <f t="shared" si="3"/>
        <v>0</v>
      </c>
      <c r="AC7" s="8">
        <f t="shared" si="3"/>
        <v>0</v>
      </c>
      <c r="AD7" s="8">
        <f t="shared" si="3"/>
        <v>0</v>
      </c>
      <c r="AE7" s="8">
        <f t="shared" si="3"/>
        <v>0</v>
      </c>
      <c r="AF7" s="8">
        <f t="shared" si="3"/>
        <v>0</v>
      </c>
      <c r="AG7" s="8">
        <f t="shared" si="3"/>
        <v>0</v>
      </c>
      <c r="AH7" s="31"/>
      <c r="AI7" s="8">
        <f>AI8*1.1928+AI9*1.1928+AI10*1.3875+AI11*1.1928+AI12*3.01+AI13*3.01+AI14*0.783+AI15*7.09+AI16*8.99+AI17*0.52+AI18*1.18+AI19*1.56+AI20*3.6+AI21*1.3659+AI22*3.34+AI23*3.68+AI24*3.314+AI25*3.314+AI26*3.314+AI27*3.314+AI28*3.314+AI29*3.314+AI30*3.314+AI31*3.314+AI32*3.74+AI34*3.558+AI35*0.466+AI36*0.396+AI37*0.56+AI38*0.2744+AI39*0.2744+AI40*0.2744+AI41*0.2744+AI42*0.2744+AI43*0.2744+AI44*2.26+AI45*1.81+AI46*3.78+AI49*0.31+AI50*3.69</f>
        <v>0</v>
      </c>
    </row>
    <row r="8" spans="1:37" ht="13.5" thickBot="1">
      <c r="A8" s="2" t="s">
        <v>16</v>
      </c>
      <c r="B8" s="8">
        <f t="shared" si="0"/>
        <v>69</v>
      </c>
      <c r="C8" s="65"/>
      <c r="D8" s="65"/>
      <c r="E8" s="65"/>
      <c r="F8" s="65"/>
      <c r="G8" s="65"/>
      <c r="H8" s="6"/>
      <c r="I8" s="6"/>
      <c r="J8" s="29"/>
      <c r="K8" s="65"/>
      <c r="L8" s="65"/>
      <c r="M8" s="29"/>
      <c r="N8" s="65"/>
      <c r="O8" s="65"/>
      <c r="P8" s="6">
        <v>69</v>
      </c>
      <c r="Q8" s="65"/>
      <c r="R8" s="65"/>
      <c r="S8" s="65"/>
      <c r="T8" s="65"/>
      <c r="U8" s="6"/>
      <c r="V8" s="29"/>
      <c r="W8" s="6"/>
      <c r="X8" s="6"/>
      <c r="Y8" s="36"/>
      <c r="Z8" s="6"/>
      <c r="AA8" s="6"/>
      <c r="AB8" s="6"/>
      <c r="AC8" s="6"/>
      <c r="AD8" s="6"/>
      <c r="AE8" s="6"/>
      <c r="AF8" s="6"/>
      <c r="AG8" s="6"/>
      <c r="AH8" s="29"/>
      <c r="AI8" s="6"/>
    </row>
    <row r="9" spans="1:37" ht="13.5" thickBot="1">
      <c r="A9" s="2" t="s">
        <v>17</v>
      </c>
      <c r="B9" s="8">
        <f t="shared" si="0"/>
        <v>0</v>
      </c>
      <c r="C9" s="65"/>
      <c r="D9" s="65"/>
      <c r="E9" s="65"/>
      <c r="F9" s="65"/>
      <c r="G9" s="65"/>
      <c r="H9" s="6"/>
      <c r="I9" s="6"/>
      <c r="J9" s="29"/>
      <c r="K9" s="65"/>
      <c r="L9" s="65"/>
      <c r="M9" s="29"/>
      <c r="N9" s="65"/>
      <c r="O9" s="65"/>
      <c r="P9" s="6"/>
      <c r="Q9" s="65"/>
      <c r="R9" s="65"/>
      <c r="S9" s="65"/>
      <c r="T9" s="65"/>
      <c r="U9" s="6"/>
      <c r="V9" s="29"/>
      <c r="W9" s="6"/>
      <c r="X9" s="6"/>
      <c r="Y9" s="36"/>
      <c r="Z9" s="6"/>
      <c r="AA9" s="6"/>
      <c r="AB9" s="6"/>
      <c r="AC9" s="6"/>
      <c r="AD9" s="6"/>
      <c r="AE9" s="6"/>
      <c r="AF9" s="6"/>
      <c r="AG9" s="6"/>
      <c r="AH9" s="29"/>
      <c r="AI9" s="6"/>
    </row>
    <row r="10" spans="1:37" ht="13.5" thickBot="1">
      <c r="A10" s="2" t="s">
        <v>18</v>
      </c>
      <c r="B10" s="8">
        <f t="shared" si="0"/>
        <v>0</v>
      </c>
      <c r="C10" s="65"/>
      <c r="D10" s="65"/>
      <c r="E10" s="65"/>
      <c r="F10" s="65"/>
      <c r="G10" s="65"/>
      <c r="H10" s="6"/>
      <c r="I10" s="6"/>
      <c r="J10" s="29"/>
      <c r="K10" s="65"/>
      <c r="L10" s="65"/>
      <c r="M10" s="29"/>
      <c r="N10" s="65"/>
      <c r="O10" s="65"/>
      <c r="P10" s="6"/>
      <c r="Q10" s="65"/>
      <c r="R10" s="65"/>
      <c r="S10" s="65"/>
      <c r="T10" s="65"/>
      <c r="U10" s="6"/>
      <c r="V10" s="29"/>
      <c r="W10" s="6"/>
      <c r="X10" s="6"/>
      <c r="Y10" s="36"/>
      <c r="Z10" s="6"/>
      <c r="AA10" s="6"/>
      <c r="AB10" s="6"/>
      <c r="AC10" s="6"/>
      <c r="AD10" s="6"/>
      <c r="AE10" s="6"/>
      <c r="AF10" s="6"/>
      <c r="AG10" s="6"/>
      <c r="AH10" s="29"/>
      <c r="AI10" s="6"/>
    </row>
    <row r="11" spans="1:37" ht="13.5" thickBot="1">
      <c r="A11" s="2" t="s">
        <v>19</v>
      </c>
      <c r="B11" s="8">
        <f t="shared" si="0"/>
        <v>0</v>
      </c>
      <c r="C11" s="65"/>
      <c r="D11" s="65"/>
      <c r="E11" s="65"/>
      <c r="F11" s="65"/>
      <c r="G11" s="65"/>
      <c r="H11" s="6"/>
      <c r="I11" s="6"/>
      <c r="J11" s="29"/>
      <c r="K11" s="65"/>
      <c r="L11" s="65"/>
      <c r="M11" s="29"/>
      <c r="N11" s="65"/>
      <c r="O11" s="65"/>
      <c r="P11" s="6"/>
      <c r="Q11" s="65"/>
      <c r="R11" s="65"/>
      <c r="S11" s="65"/>
      <c r="T11" s="65"/>
      <c r="U11" s="6"/>
      <c r="V11" s="29"/>
      <c r="W11" s="6"/>
      <c r="X11" s="6"/>
      <c r="Y11" s="36"/>
      <c r="Z11" s="6"/>
      <c r="AA11" s="6"/>
      <c r="AB11" s="6"/>
      <c r="AC11" s="6"/>
      <c r="AD11" s="6"/>
      <c r="AE11" s="6"/>
      <c r="AF11" s="6"/>
      <c r="AG11" s="6"/>
      <c r="AH11" s="29"/>
      <c r="AI11" s="6"/>
    </row>
    <row r="12" spans="1:37" ht="13.5" thickBot="1">
      <c r="A12" s="2" t="s">
        <v>20</v>
      </c>
      <c r="B12" s="8">
        <f t="shared" si="0"/>
        <v>0</v>
      </c>
      <c r="C12" s="65"/>
      <c r="D12" s="65"/>
      <c r="E12" s="65"/>
      <c r="F12" s="65"/>
      <c r="G12" s="65"/>
      <c r="H12" s="6"/>
      <c r="I12" s="6"/>
      <c r="J12" s="29"/>
      <c r="K12" s="65"/>
      <c r="L12" s="65"/>
      <c r="M12" s="29"/>
      <c r="N12" s="65"/>
      <c r="O12" s="65"/>
      <c r="P12" s="6"/>
      <c r="Q12" s="65"/>
      <c r="R12" s="65"/>
      <c r="S12" s="65"/>
      <c r="T12" s="65"/>
      <c r="U12" s="6"/>
      <c r="V12" s="29"/>
      <c r="W12" s="6"/>
      <c r="X12" s="6"/>
      <c r="Y12" s="36"/>
      <c r="Z12" s="6"/>
      <c r="AA12" s="6"/>
      <c r="AB12" s="6"/>
      <c r="AC12" s="6"/>
      <c r="AD12" s="6"/>
      <c r="AE12" s="6"/>
      <c r="AF12" s="6"/>
      <c r="AG12" s="6"/>
      <c r="AH12" s="29"/>
      <c r="AI12" s="6"/>
    </row>
    <row r="13" spans="1:37" ht="13.5" thickBot="1">
      <c r="A13" s="2" t="s">
        <v>21</v>
      </c>
      <c r="B13" s="8">
        <f t="shared" si="0"/>
        <v>0</v>
      </c>
      <c r="C13" s="65"/>
      <c r="D13" s="65"/>
      <c r="E13" s="65"/>
      <c r="F13" s="65"/>
      <c r="G13" s="65"/>
      <c r="H13" s="6"/>
      <c r="I13" s="6"/>
      <c r="J13" s="29"/>
      <c r="K13" s="65"/>
      <c r="L13" s="65"/>
      <c r="M13" s="29"/>
      <c r="N13" s="65"/>
      <c r="O13" s="65"/>
      <c r="P13" s="6"/>
      <c r="Q13" s="65"/>
      <c r="R13" s="65"/>
      <c r="S13" s="65"/>
      <c r="T13" s="65"/>
      <c r="U13" s="6"/>
      <c r="V13" s="29"/>
      <c r="W13" s="6"/>
      <c r="X13" s="6"/>
      <c r="Y13" s="36"/>
      <c r="Z13" s="6"/>
      <c r="AA13" s="6"/>
      <c r="AB13" s="6"/>
      <c r="AC13" s="6"/>
      <c r="AD13" s="6"/>
      <c r="AE13" s="6"/>
      <c r="AF13" s="6"/>
      <c r="AG13" s="6"/>
      <c r="AH13" s="29"/>
      <c r="AI13" s="6"/>
    </row>
    <row r="14" spans="1:37" ht="13.5" thickBot="1">
      <c r="A14" s="2" t="s">
        <v>22</v>
      </c>
      <c r="B14" s="8">
        <f t="shared" si="0"/>
        <v>56.75</v>
      </c>
      <c r="C14" s="65"/>
      <c r="D14" s="65"/>
      <c r="E14" s="65"/>
      <c r="F14" s="65"/>
      <c r="G14" s="65"/>
      <c r="H14" s="6"/>
      <c r="I14" s="6"/>
      <c r="J14" s="29"/>
      <c r="K14" s="65"/>
      <c r="L14" s="65"/>
      <c r="M14" s="29"/>
      <c r="N14" s="65">
        <v>56.75</v>
      </c>
      <c r="O14" s="65"/>
      <c r="P14" s="6"/>
      <c r="Q14" s="65"/>
      <c r="R14" s="65"/>
      <c r="S14" s="65"/>
      <c r="T14" s="65"/>
      <c r="U14" s="6"/>
      <c r="V14" s="29"/>
      <c r="W14" s="6"/>
      <c r="X14" s="6"/>
      <c r="Y14" s="36"/>
      <c r="Z14" s="6"/>
      <c r="AA14" s="6"/>
      <c r="AB14" s="6"/>
      <c r="AC14" s="6"/>
      <c r="AD14" s="6"/>
      <c r="AE14" s="6"/>
      <c r="AF14" s="6"/>
      <c r="AG14" s="6"/>
      <c r="AH14" s="29"/>
      <c r="AI14" s="6"/>
    </row>
    <row r="15" spans="1:37" ht="13.5" thickBot="1">
      <c r="A15" s="2" t="s">
        <v>23</v>
      </c>
      <c r="B15" s="8">
        <f t="shared" si="0"/>
        <v>24.7</v>
      </c>
      <c r="C15" s="65">
        <v>5</v>
      </c>
      <c r="D15" s="65"/>
      <c r="E15" s="65"/>
      <c r="F15" s="65"/>
      <c r="G15" s="65"/>
      <c r="H15" s="6"/>
      <c r="I15" s="6"/>
      <c r="J15" s="29"/>
      <c r="K15" s="65"/>
      <c r="L15" s="65"/>
      <c r="M15" s="29"/>
      <c r="N15" s="65"/>
      <c r="O15" s="65">
        <v>4</v>
      </c>
      <c r="P15" s="6">
        <v>10.7</v>
      </c>
      <c r="Q15" s="65">
        <v>5</v>
      </c>
      <c r="R15" s="65"/>
      <c r="S15" s="65"/>
      <c r="T15" s="65"/>
      <c r="U15" s="6"/>
      <c r="V15" s="29"/>
      <c r="W15" s="6"/>
      <c r="X15" s="6"/>
      <c r="Y15" s="36"/>
      <c r="Z15" s="6"/>
      <c r="AA15" s="6"/>
      <c r="AB15" s="6"/>
      <c r="AC15" s="6"/>
      <c r="AD15" s="6"/>
      <c r="AE15" s="6"/>
      <c r="AF15" s="6"/>
      <c r="AG15" s="6"/>
      <c r="AH15" s="29"/>
      <c r="AI15" s="6"/>
    </row>
    <row r="16" spans="1:37" ht="13.5" thickBot="1">
      <c r="A16" s="2" t="s">
        <v>24</v>
      </c>
      <c r="B16" s="8">
        <f t="shared" si="0"/>
        <v>5.45</v>
      </c>
      <c r="C16" s="65"/>
      <c r="D16" s="65"/>
      <c r="E16" s="65"/>
      <c r="F16" s="65"/>
      <c r="G16" s="65"/>
      <c r="H16" s="6"/>
      <c r="I16" s="6"/>
      <c r="J16" s="29"/>
      <c r="K16" s="65"/>
      <c r="L16" s="65"/>
      <c r="M16" s="29"/>
      <c r="N16" s="65">
        <v>5.45</v>
      </c>
      <c r="O16" s="65"/>
      <c r="P16" s="6"/>
      <c r="Q16" s="65"/>
      <c r="R16" s="65"/>
      <c r="S16" s="65"/>
      <c r="T16" s="65"/>
      <c r="U16" s="6"/>
      <c r="V16" s="29"/>
      <c r="W16" s="6"/>
      <c r="X16" s="6"/>
      <c r="Y16" s="36"/>
      <c r="Z16" s="6"/>
      <c r="AA16" s="6"/>
      <c r="AB16" s="6"/>
      <c r="AC16" s="6"/>
      <c r="AD16" s="6"/>
      <c r="AE16" s="6"/>
      <c r="AF16" s="6"/>
      <c r="AG16" s="6"/>
      <c r="AH16" s="29"/>
      <c r="AI16" s="6"/>
    </row>
    <row r="17" spans="1:35" ht="13.5" thickBot="1">
      <c r="A17" s="2" t="s">
        <v>54</v>
      </c>
      <c r="B17" s="8">
        <f t="shared" si="0"/>
        <v>182</v>
      </c>
      <c r="C17" s="65">
        <v>132</v>
      </c>
      <c r="D17" s="65"/>
      <c r="E17" s="65">
        <v>50</v>
      </c>
      <c r="F17" s="65"/>
      <c r="G17" s="65"/>
      <c r="H17" s="6"/>
      <c r="I17" s="6"/>
      <c r="J17" s="29"/>
      <c r="K17" s="65"/>
      <c r="L17" s="65"/>
      <c r="M17" s="29"/>
      <c r="N17" s="65"/>
      <c r="O17" s="65"/>
      <c r="P17" s="6"/>
      <c r="Q17" s="65"/>
      <c r="R17" s="65"/>
      <c r="S17" s="65"/>
      <c r="T17" s="65"/>
      <c r="U17" s="6"/>
      <c r="V17" s="29"/>
      <c r="W17" s="6"/>
      <c r="X17" s="6"/>
      <c r="Y17" s="36"/>
      <c r="Z17" s="6"/>
      <c r="AA17" s="6"/>
      <c r="AB17" s="6"/>
      <c r="AC17" s="6"/>
      <c r="AD17" s="6"/>
      <c r="AE17" s="6"/>
      <c r="AF17" s="6"/>
      <c r="AG17" s="6"/>
      <c r="AH17" s="29"/>
      <c r="AI17" s="6"/>
    </row>
    <row r="18" spans="1:35" ht="13.5" thickBot="1">
      <c r="A18" s="2" t="s">
        <v>25</v>
      </c>
      <c r="B18" s="8">
        <f t="shared" si="0"/>
        <v>8</v>
      </c>
      <c r="C18" s="65"/>
      <c r="D18" s="65"/>
      <c r="E18" s="65"/>
      <c r="F18" s="65"/>
      <c r="G18" s="65"/>
      <c r="H18" s="6"/>
      <c r="I18" s="6"/>
      <c r="J18" s="29"/>
      <c r="K18" s="65"/>
      <c r="L18" s="65"/>
      <c r="M18" s="29"/>
      <c r="N18" s="65"/>
      <c r="O18" s="65">
        <v>8</v>
      </c>
      <c r="P18" s="6"/>
      <c r="Q18" s="65"/>
      <c r="R18" s="65"/>
      <c r="S18" s="65"/>
      <c r="T18" s="65"/>
      <c r="U18" s="6"/>
      <c r="V18" s="29"/>
      <c r="W18" s="6"/>
      <c r="X18" s="6"/>
      <c r="Y18" s="36"/>
      <c r="Z18" s="6"/>
      <c r="AA18" s="6"/>
      <c r="AB18" s="6"/>
      <c r="AC18" s="6"/>
      <c r="AD18" s="6"/>
      <c r="AE18" s="6"/>
      <c r="AF18" s="6"/>
      <c r="AG18" s="6"/>
      <c r="AH18" s="29"/>
      <c r="AI18" s="6"/>
    </row>
    <row r="19" spans="1:35" ht="13.5" thickBot="1">
      <c r="A19" s="2" t="s">
        <v>26</v>
      </c>
      <c r="B19" s="8">
        <f t="shared" si="0"/>
        <v>0</v>
      </c>
      <c r="C19" s="65"/>
      <c r="D19" s="65"/>
      <c r="E19" s="65"/>
      <c r="F19" s="65"/>
      <c r="G19" s="65"/>
      <c r="H19" s="6"/>
      <c r="I19" s="6"/>
      <c r="J19" s="29"/>
      <c r="K19" s="65"/>
      <c r="L19" s="65"/>
      <c r="M19" s="29"/>
      <c r="N19" s="65"/>
      <c r="O19" s="65"/>
      <c r="P19" s="6"/>
      <c r="Q19" s="65"/>
      <c r="R19" s="65"/>
      <c r="S19" s="65"/>
      <c r="T19" s="65"/>
      <c r="U19" s="6"/>
      <c r="V19" s="29"/>
      <c r="W19" s="6"/>
      <c r="X19" s="6"/>
      <c r="Y19" s="36"/>
      <c r="Z19" s="6"/>
      <c r="AA19" s="6"/>
      <c r="AB19" s="6"/>
      <c r="AC19" s="6"/>
      <c r="AD19" s="6"/>
      <c r="AE19" s="6"/>
      <c r="AF19" s="6"/>
      <c r="AG19" s="6"/>
      <c r="AH19" s="29"/>
      <c r="AI19" s="6"/>
    </row>
    <row r="20" spans="1:35" ht="13.5" thickBot="1">
      <c r="A20" s="2" t="s">
        <v>27</v>
      </c>
      <c r="B20" s="8">
        <f t="shared" si="0"/>
        <v>13.2</v>
      </c>
      <c r="C20" s="65"/>
      <c r="D20" s="65">
        <v>13.2</v>
      </c>
      <c r="E20" s="65"/>
      <c r="F20" s="65"/>
      <c r="G20" s="65"/>
      <c r="H20" s="6"/>
      <c r="I20" s="6"/>
      <c r="J20" s="29"/>
      <c r="K20" s="65"/>
      <c r="L20" s="65"/>
      <c r="M20" s="29"/>
      <c r="N20" s="65"/>
      <c r="O20" s="65"/>
      <c r="P20" s="6"/>
      <c r="Q20" s="65"/>
      <c r="R20" s="65"/>
      <c r="S20" s="65"/>
      <c r="T20" s="65"/>
      <c r="U20" s="6"/>
      <c r="V20" s="29"/>
      <c r="W20" s="6"/>
      <c r="X20" s="6"/>
      <c r="Y20" s="36"/>
      <c r="Z20" s="6"/>
      <c r="AA20" s="6"/>
      <c r="AB20" s="6"/>
      <c r="AC20" s="6"/>
      <c r="AD20" s="6"/>
      <c r="AE20" s="6"/>
      <c r="AF20" s="6"/>
      <c r="AG20" s="6"/>
      <c r="AH20" s="29"/>
      <c r="AI20" s="6"/>
    </row>
    <row r="21" spans="1:35" ht="13.5" thickBot="1">
      <c r="A21" s="2" t="s">
        <v>14</v>
      </c>
      <c r="B21" s="8">
        <f t="shared" si="0"/>
        <v>0</v>
      </c>
      <c r="C21" s="65"/>
      <c r="D21" s="65"/>
      <c r="E21" s="65"/>
      <c r="F21" s="65"/>
      <c r="G21" s="65"/>
      <c r="H21" s="6"/>
      <c r="I21" s="6"/>
      <c r="J21" s="29"/>
      <c r="K21" s="65"/>
      <c r="L21" s="65"/>
      <c r="M21" s="29"/>
      <c r="N21" s="65"/>
      <c r="O21" s="65"/>
      <c r="P21" s="6"/>
      <c r="Q21" s="65"/>
      <c r="R21" s="65"/>
      <c r="S21" s="65"/>
      <c r="T21" s="65"/>
      <c r="U21" s="6"/>
      <c r="V21" s="29"/>
      <c r="W21" s="6"/>
      <c r="X21" s="6"/>
      <c r="Y21" s="36"/>
      <c r="Z21" s="6"/>
      <c r="AA21" s="6"/>
      <c r="AB21" s="6"/>
      <c r="AC21" s="6"/>
      <c r="AD21" s="6"/>
      <c r="AE21" s="6"/>
      <c r="AF21" s="6"/>
      <c r="AG21" s="6"/>
      <c r="AH21" s="29"/>
      <c r="AI21" s="6"/>
    </row>
    <row r="22" spans="1:35" ht="13.5" thickBot="1">
      <c r="A22" s="2" t="s">
        <v>28</v>
      </c>
      <c r="B22" s="8">
        <f t="shared" si="0"/>
        <v>5.3</v>
      </c>
      <c r="C22" s="65"/>
      <c r="D22" s="65"/>
      <c r="E22" s="65"/>
      <c r="F22" s="65"/>
      <c r="G22" s="65"/>
      <c r="H22" s="6"/>
      <c r="I22" s="6"/>
      <c r="J22" s="29"/>
      <c r="K22" s="65"/>
      <c r="L22" s="65"/>
      <c r="M22" s="29"/>
      <c r="N22" s="65"/>
      <c r="O22" s="65"/>
      <c r="P22" s="6">
        <v>5.3</v>
      </c>
      <c r="Q22" s="65"/>
      <c r="R22" s="65"/>
      <c r="S22" s="65"/>
      <c r="T22" s="65"/>
      <c r="U22" s="6"/>
      <c r="V22" s="29"/>
      <c r="W22" s="6"/>
      <c r="X22" s="6"/>
      <c r="Y22" s="36"/>
      <c r="Z22" s="6"/>
      <c r="AA22" s="6"/>
      <c r="AB22" s="6"/>
      <c r="AC22" s="6"/>
      <c r="AD22" s="6"/>
      <c r="AE22" s="6"/>
      <c r="AF22" s="6"/>
      <c r="AG22" s="6"/>
      <c r="AH22" s="29"/>
      <c r="AI22" s="6"/>
    </row>
    <row r="23" spans="1:35" ht="13.5" thickBot="1">
      <c r="A23" s="2" t="s">
        <v>29</v>
      </c>
      <c r="B23" s="8">
        <f t="shared" si="0"/>
        <v>0</v>
      </c>
      <c r="C23" s="65"/>
      <c r="D23" s="65"/>
      <c r="E23" s="65"/>
      <c r="F23" s="65"/>
      <c r="G23" s="65"/>
      <c r="H23" s="6"/>
      <c r="I23" s="6"/>
      <c r="J23" s="29"/>
      <c r="K23" s="65"/>
      <c r="L23" s="65"/>
      <c r="M23" s="29"/>
      <c r="N23" s="65"/>
      <c r="O23" s="65"/>
      <c r="P23" s="6"/>
      <c r="Q23" s="65"/>
      <c r="R23" s="65"/>
      <c r="S23" s="65"/>
      <c r="T23" s="65"/>
      <c r="U23" s="6"/>
      <c r="V23" s="29"/>
      <c r="W23" s="6"/>
      <c r="X23" s="6"/>
      <c r="Y23" s="36"/>
      <c r="Z23" s="6"/>
      <c r="AA23" s="6"/>
      <c r="AB23" s="6"/>
      <c r="AC23" s="6"/>
      <c r="AD23" s="6"/>
      <c r="AE23" s="6"/>
      <c r="AF23" s="6"/>
      <c r="AG23" s="6"/>
      <c r="AH23" s="29"/>
      <c r="AI23" s="6"/>
    </row>
    <row r="24" spans="1:35" ht="13.5" thickBot="1">
      <c r="A24" s="2" t="s">
        <v>30</v>
      </c>
      <c r="B24" s="8">
        <f t="shared" si="0"/>
        <v>0</v>
      </c>
      <c r="C24" s="65"/>
      <c r="D24" s="65"/>
      <c r="E24" s="65"/>
      <c r="F24" s="65"/>
      <c r="G24" s="65"/>
      <c r="H24" s="6"/>
      <c r="I24" s="6"/>
      <c r="J24" s="29"/>
      <c r="K24" s="65"/>
      <c r="L24" s="65"/>
      <c r="M24" s="29"/>
      <c r="N24" s="65"/>
      <c r="O24" s="65"/>
      <c r="P24" s="6"/>
      <c r="Q24" s="65"/>
      <c r="R24" s="65"/>
      <c r="S24" s="65"/>
      <c r="T24" s="65"/>
      <c r="U24" s="6"/>
      <c r="V24" s="29"/>
      <c r="W24" s="6"/>
      <c r="X24" s="6"/>
      <c r="Y24" s="36"/>
      <c r="Z24" s="6"/>
      <c r="AA24" s="6"/>
      <c r="AB24" s="6"/>
      <c r="AC24" s="6"/>
      <c r="AD24" s="6"/>
      <c r="AE24" s="6"/>
      <c r="AF24" s="6"/>
      <c r="AG24" s="6"/>
      <c r="AH24" s="29"/>
      <c r="AI24" s="6"/>
    </row>
    <row r="25" spans="1:35" ht="13.5" thickBot="1">
      <c r="A25" s="2" t="s">
        <v>31</v>
      </c>
      <c r="B25" s="8">
        <f t="shared" si="0"/>
        <v>0</v>
      </c>
      <c r="C25" s="65"/>
      <c r="D25" s="65"/>
      <c r="E25" s="65"/>
      <c r="F25" s="65"/>
      <c r="G25" s="65"/>
      <c r="H25" s="6"/>
      <c r="I25" s="6"/>
      <c r="J25" s="29"/>
      <c r="K25" s="65"/>
      <c r="L25" s="65"/>
      <c r="M25" s="29"/>
      <c r="N25" s="65"/>
      <c r="O25" s="65"/>
      <c r="P25" s="6"/>
      <c r="Q25" s="65"/>
      <c r="R25" s="65"/>
      <c r="S25" s="65"/>
      <c r="T25" s="65"/>
      <c r="U25" s="6"/>
      <c r="V25" s="29"/>
      <c r="W25" s="6"/>
      <c r="X25" s="6"/>
      <c r="Y25" s="36"/>
      <c r="Z25" s="6"/>
      <c r="AA25" s="6"/>
      <c r="AB25" s="6"/>
      <c r="AC25" s="6"/>
      <c r="AD25" s="6"/>
      <c r="AE25" s="6"/>
      <c r="AF25" s="6"/>
      <c r="AG25" s="6"/>
      <c r="AH25" s="29"/>
      <c r="AI25" s="6"/>
    </row>
    <row r="26" spans="1:35" ht="13.5" thickBot="1">
      <c r="A26" s="2" t="s">
        <v>32</v>
      </c>
      <c r="B26" s="8">
        <f t="shared" si="0"/>
        <v>0</v>
      </c>
      <c r="C26" s="65"/>
      <c r="D26" s="65"/>
      <c r="E26" s="65"/>
      <c r="F26" s="65"/>
      <c r="G26" s="65"/>
      <c r="H26" s="6"/>
      <c r="I26" s="6"/>
      <c r="J26" s="29"/>
      <c r="K26" s="65"/>
      <c r="L26" s="65"/>
      <c r="M26" s="29"/>
      <c r="N26" s="65"/>
      <c r="O26" s="65"/>
      <c r="P26" s="6"/>
      <c r="Q26" s="65"/>
      <c r="R26" s="65"/>
      <c r="S26" s="65"/>
      <c r="T26" s="65"/>
      <c r="U26" s="6"/>
      <c r="V26" s="29"/>
      <c r="W26" s="6"/>
      <c r="X26" s="6"/>
      <c r="Y26" s="36"/>
      <c r="Z26" s="6"/>
      <c r="AA26" s="6"/>
      <c r="AB26" s="6"/>
      <c r="AC26" s="6"/>
      <c r="AD26" s="6"/>
      <c r="AE26" s="6"/>
      <c r="AF26" s="6"/>
      <c r="AG26" s="6"/>
      <c r="AH26" s="29"/>
      <c r="AI26" s="6"/>
    </row>
    <row r="27" spans="1:35" ht="13.5" thickBot="1">
      <c r="A27" s="2" t="s">
        <v>33</v>
      </c>
      <c r="B27" s="8">
        <f t="shared" si="0"/>
        <v>0</v>
      </c>
      <c r="C27" s="65"/>
      <c r="D27" s="65"/>
      <c r="E27" s="65"/>
      <c r="F27" s="65"/>
      <c r="G27" s="65"/>
      <c r="H27" s="6"/>
      <c r="I27" s="6"/>
      <c r="J27" s="29"/>
      <c r="K27" s="65"/>
      <c r="L27" s="65"/>
      <c r="M27" s="29"/>
      <c r="N27" s="65"/>
      <c r="O27" s="65"/>
      <c r="P27" s="6"/>
      <c r="Q27" s="65"/>
      <c r="R27" s="65"/>
      <c r="S27" s="65"/>
      <c r="T27" s="65"/>
      <c r="U27" s="6"/>
      <c r="V27" s="29"/>
      <c r="W27" s="6"/>
      <c r="X27" s="6"/>
      <c r="Y27" s="36"/>
      <c r="Z27" s="6"/>
      <c r="AA27" s="6"/>
      <c r="AB27" s="6"/>
      <c r="AC27" s="6"/>
      <c r="AD27" s="6"/>
      <c r="AE27" s="6"/>
      <c r="AF27" s="6"/>
      <c r="AG27" s="6"/>
      <c r="AH27" s="29"/>
      <c r="AI27" s="6"/>
    </row>
    <row r="28" spans="1:35" ht="13.5" thickBot="1">
      <c r="A28" s="2" t="s">
        <v>34</v>
      </c>
      <c r="B28" s="8">
        <f t="shared" si="0"/>
        <v>29.8</v>
      </c>
      <c r="C28" s="65">
        <v>23.1</v>
      </c>
      <c r="D28" s="65"/>
      <c r="E28" s="65"/>
      <c r="F28" s="65"/>
      <c r="G28" s="65"/>
      <c r="H28" s="6"/>
      <c r="I28" s="6"/>
      <c r="J28" s="29"/>
      <c r="K28" s="65"/>
      <c r="L28" s="65"/>
      <c r="M28" s="29"/>
      <c r="N28" s="65"/>
      <c r="O28" s="65"/>
      <c r="P28" s="6">
        <v>6.7</v>
      </c>
      <c r="Q28" s="65"/>
      <c r="R28" s="65"/>
      <c r="S28" s="65"/>
      <c r="T28" s="65"/>
      <c r="U28" s="6"/>
      <c r="V28" s="29"/>
      <c r="W28" s="6"/>
      <c r="X28" s="6"/>
      <c r="Y28" s="36"/>
      <c r="Z28" s="6"/>
      <c r="AA28" s="6"/>
      <c r="AB28" s="6"/>
      <c r="AC28" s="6"/>
      <c r="AD28" s="6"/>
      <c r="AE28" s="6"/>
      <c r="AF28" s="6"/>
      <c r="AG28" s="6"/>
      <c r="AH28" s="29"/>
      <c r="AI28" s="6"/>
    </row>
    <row r="29" spans="1:35" ht="13.5" thickBot="1">
      <c r="A29" s="2" t="s">
        <v>35</v>
      </c>
      <c r="B29" s="8">
        <f t="shared" si="0"/>
        <v>0</v>
      </c>
      <c r="C29" s="65"/>
      <c r="D29" s="65"/>
      <c r="E29" s="65"/>
      <c r="F29" s="65"/>
      <c r="G29" s="65"/>
      <c r="H29" s="6"/>
      <c r="I29" s="6"/>
      <c r="J29" s="29"/>
      <c r="K29" s="65"/>
      <c r="L29" s="65"/>
      <c r="M29" s="29"/>
      <c r="N29" s="65"/>
      <c r="O29" s="65"/>
      <c r="P29" s="6"/>
      <c r="Q29" s="65"/>
      <c r="R29" s="65"/>
      <c r="S29" s="65"/>
      <c r="T29" s="65"/>
      <c r="U29" s="6"/>
      <c r="V29" s="29"/>
      <c r="W29" s="6"/>
      <c r="X29" s="6"/>
      <c r="Y29" s="36"/>
      <c r="Z29" s="6"/>
      <c r="AA29" s="6"/>
      <c r="AB29" s="6"/>
      <c r="AC29" s="6"/>
      <c r="AD29" s="6"/>
      <c r="AE29" s="6"/>
      <c r="AF29" s="6"/>
      <c r="AG29" s="6"/>
      <c r="AH29" s="29"/>
      <c r="AI29" s="6"/>
    </row>
    <row r="30" spans="1:35" ht="13.5" thickBot="1">
      <c r="A30" s="2" t="s">
        <v>36</v>
      </c>
      <c r="B30" s="8">
        <f t="shared" si="0"/>
        <v>52.5</v>
      </c>
      <c r="C30" s="65"/>
      <c r="D30" s="65"/>
      <c r="E30" s="65"/>
      <c r="F30" s="65"/>
      <c r="G30" s="65"/>
      <c r="H30" s="6"/>
      <c r="I30" s="6"/>
      <c r="J30" s="29"/>
      <c r="K30" s="65"/>
      <c r="L30" s="65"/>
      <c r="M30" s="29"/>
      <c r="N30" s="65"/>
      <c r="O30" s="65"/>
      <c r="P30" s="6"/>
      <c r="Q30" s="65">
        <v>52.5</v>
      </c>
      <c r="R30" s="65"/>
      <c r="S30" s="65"/>
      <c r="T30" s="65"/>
      <c r="U30" s="6"/>
      <c r="V30" s="29"/>
      <c r="W30" s="6"/>
      <c r="X30" s="6"/>
      <c r="Y30" s="36"/>
      <c r="Z30" s="6"/>
      <c r="AA30" s="6"/>
      <c r="AB30" s="6"/>
      <c r="AC30" s="6"/>
      <c r="AD30" s="6"/>
      <c r="AE30" s="6"/>
      <c r="AF30" s="6"/>
      <c r="AG30" s="6"/>
      <c r="AH30" s="29"/>
      <c r="AI30" s="6"/>
    </row>
    <row r="31" spans="1:35" ht="13.5" thickBot="1">
      <c r="A31" s="2" t="s">
        <v>37</v>
      </c>
      <c r="B31" s="8">
        <f t="shared" si="0"/>
        <v>9.6</v>
      </c>
      <c r="C31" s="65"/>
      <c r="D31" s="65"/>
      <c r="E31" s="65"/>
      <c r="F31" s="65"/>
      <c r="G31" s="65"/>
      <c r="H31" s="6"/>
      <c r="I31" s="6"/>
      <c r="J31" s="29"/>
      <c r="K31" s="65"/>
      <c r="L31" s="65"/>
      <c r="M31" s="29"/>
      <c r="N31" s="65"/>
      <c r="O31" s="65">
        <v>9.6</v>
      </c>
      <c r="P31" s="6"/>
      <c r="Q31" s="65"/>
      <c r="R31" s="65"/>
      <c r="S31" s="65"/>
      <c r="T31" s="65"/>
      <c r="U31" s="6"/>
      <c r="V31" s="29"/>
      <c r="W31" s="6"/>
      <c r="X31" s="6"/>
      <c r="Y31" s="36"/>
      <c r="Z31" s="6"/>
      <c r="AA31" s="6"/>
      <c r="AB31" s="6"/>
      <c r="AC31" s="6"/>
      <c r="AD31" s="6"/>
      <c r="AE31" s="6"/>
      <c r="AF31" s="6"/>
      <c r="AG31" s="6"/>
      <c r="AH31" s="29"/>
      <c r="AI31" s="6"/>
    </row>
    <row r="32" spans="1:35" ht="13.5" thickBot="1">
      <c r="A32" s="2" t="s">
        <v>38</v>
      </c>
      <c r="B32" s="8">
        <f t="shared" si="0"/>
        <v>20</v>
      </c>
      <c r="C32" s="65"/>
      <c r="D32" s="65"/>
      <c r="E32" s="65">
        <v>20</v>
      </c>
      <c r="F32" s="65"/>
      <c r="G32" s="65"/>
      <c r="H32" s="6"/>
      <c r="I32" s="6"/>
      <c r="J32" s="29"/>
      <c r="K32" s="65"/>
      <c r="L32" s="65"/>
      <c r="M32" s="29"/>
      <c r="N32" s="65"/>
      <c r="O32" s="65"/>
      <c r="P32" s="6"/>
      <c r="Q32" s="65"/>
      <c r="R32" s="65"/>
      <c r="S32" s="65"/>
      <c r="T32" s="65"/>
      <c r="U32" s="6"/>
      <c r="V32" s="29"/>
      <c r="W32" s="6"/>
      <c r="X32" s="6"/>
      <c r="Y32" s="36"/>
      <c r="Z32" s="6"/>
      <c r="AA32" s="6"/>
      <c r="AB32" s="6"/>
      <c r="AC32" s="6"/>
      <c r="AD32" s="6"/>
      <c r="AE32" s="6"/>
      <c r="AF32" s="6"/>
      <c r="AG32" s="6"/>
      <c r="AH32" s="29"/>
      <c r="AI32" s="6"/>
    </row>
    <row r="33" spans="1:35" ht="13.5" thickBot="1">
      <c r="A33" s="2" t="s">
        <v>39</v>
      </c>
      <c r="B33" s="8">
        <f t="shared" si="0"/>
        <v>0</v>
      </c>
      <c r="C33" s="65"/>
      <c r="D33" s="65"/>
      <c r="E33" s="65"/>
      <c r="F33" s="65"/>
      <c r="G33" s="65"/>
      <c r="H33" s="6"/>
      <c r="I33" s="6"/>
      <c r="J33" s="29"/>
      <c r="K33" s="65"/>
      <c r="L33" s="65"/>
      <c r="M33" s="29"/>
      <c r="N33" s="65"/>
      <c r="O33" s="65"/>
      <c r="P33" s="6"/>
      <c r="Q33" s="65"/>
      <c r="R33" s="65"/>
      <c r="S33" s="65"/>
      <c r="T33" s="65"/>
      <c r="U33" s="6"/>
      <c r="V33" s="29"/>
      <c r="W33" s="6"/>
      <c r="X33" s="6"/>
      <c r="Y33" s="36"/>
      <c r="Z33" s="6"/>
      <c r="AA33" s="6"/>
      <c r="AB33" s="6"/>
      <c r="AC33" s="6"/>
      <c r="AD33" s="6"/>
      <c r="AE33" s="6"/>
      <c r="AF33" s="6"/>
      <c r="AG33" s="6"/>
      <c r="AH33" s="29"/>
      <c r="AI33" s="6"/>
    </row>
    <row r="34" spans="1:35" ht="13.5" thickBot="1">
      <c r="A34" s="2" t="s">
        <v>40</v>
      </c>
      <c r="B34" s="8">
        <f t="shared" si="0"/>
        <v>10</v>
      </c>
      <c r="C34" s="65"/>
      <c r="D34" s="65"/>
      <c r="E34" s="65"/>
      <c r="F34" s="65"/>
      <c r="G34" s="65">
        <v>10</v>
      </c>
      <c r="H34" s="6"/>
      <c r="I34" s="6"/>
      <c r="J34" s="29"/>
      <c r="K34" s="65"/>
      <c r="L34" s="65"/>
      <c r="M34" s="29"/>
      <c r="N34" s="65"/>
      <c r="O34" s="65"/>
      <c r="P34" s="6"/>
      <c r="Q34" s="65"/>
      <c r="R34" s="65"/>
      <c r="S34" s="65"/>
      <c r="T34" s="65"/>
      <c r="U34" s="6"/>
      <c r="V34" s="29"/>
      <c r="W34" s="6"/>
      <c r="X34" s="6"/>
      <c r="Y34" s="36"/>
      <c r="Z34" s="6"/>
      <c r="AA34" s="6"/>
      <c r="AB34" s="6"/>
      <c r="AC34" s="6"/>
      <c r="AD34" s="6"/>
      <c r="AE34" s="6"/>
      <c r="AF34" s="6"/>
      <c r="AG34" s="6"/>
      <c r="AH34" s="29"/>
      <c r="AI34" s="6"/>
    </row>
    <row r="35" spans="1:35" ht="13.5" thickBot="1">
      <c r="A35" s="2" t="s">
        <v>41</v>
      </c>
      <c r="B35" s="8">
        <f t="shared" si="0"/>
        <v>0</v>
      </c>
      <c r="C35" s="65"/>
      <c r="D35" s="65"/>
      <c r="E35" s="65"/>
      <c r="F35" s="65"/>
      <c r="G35" s="65"/>
      <c r="H35" s="6"/>
      <c r="I35" s="6"/>
      <c r="J35" s="29"/>
      <c r="K35" s="65"/>
      <c r="L35" s="65"/>
      <c r="M35" s="29"/>
      <c r="N35" s="65"/>
      <c r="O35" s="65"/>
      <c r="P35" s="6"/>
      <c r="Q35" s="65"/>
      <c r="R35" s="65"/>
      <c r="S35" s="65"/>
      <c r="T35" s="65"/>
      <c r="U35" s="6"/>
      <c r="V35" s="29"/>
      <c r="W35" s="6"/>
      <c r="X35" s="6"/>
      <c r="Y35" s="36"/>
      <c r="Z35" s="6"/>
      <c r="AA35" s="6"/>
      <c r="AB35" s="6"/>
      <c r="AC35" s="6"/>
      <c r="AD35" s="6"/>
      <c r="AE35" s="6"/>
      <c r="AF35" s="6"/>
      <c r="AG35" s="6"/>
      <c r="AH35" s="29"/>
      <c r="AI35" s="6"/>
    </row>
    <row r="36" spans="1:35" ht="13.5" thickBot="1">
      <c r="A36" s="2" t="s">
        <v>42</v>
      </c>
      <c r="B36" s="8">
        <f t="shared" si="0"/>
        <v>0</v>
      </c>
      <c r="C36" s="65"/>
      <c r="D36" s="65"/>
      <c r="E36" s="65"/>
      <c r="F36" s="65"/>
      <c r="G36" s="65"/>
      <c r="H36" s="6"/>
      <c r="I36" s="6"/>
      <c r="J36" s="29"/>
      <c r="K36" s="65"/>
      <c r="L36" s="65"/>
      <c r="M36" s="29"/>
      <c r="N36" s="65"/>
      <c r="O36" s="65"/>
      <c r="P36" s="6"/>
      <c r="Q36" s="65"/>
      <c r="R36" s="65"/>
      <c r="S36" s="65"/>
      <c r="T36" s="65"/>
      <c r="U36" s="6"/>
      <c r="V36" s="29"/>
      <c r="W36" s="6"/>
      <c r="X36" s="6"/>
      <c r="Y36" s="36"/>
      <c r="Z36" s="6"/>
      <c r="AA36" s="6"/>
      <c r="AB36" s="6"/>
      <c r="AC36" s="6"/>
      <c r="AD36" s="6"/>
      <c r="AE36" s="6"/>
      <c r="AF36" s="6"/>
      <c r="AG36" s="6"/>
      <c r="AH36" s="29"/>
      <c r="AI36" s="6"/>
    </row>
    <row r="37" spans="1:35" ht="13.5" thickBot="1">
      <c r="A37" s="2" t="s">
        <v>43</v>
      </c>
      <c r="B37" s="8">
        <f t="shared" si="0"/>
        <v>53.6</v>
      </c>
      <c r="C37" s="65"/>
      <c r="D37" s="65"/>
      <c r="E37" s="65"/>
      <c r="F37" s="65"/>
      <c r="G37" s="65"/>
      <c r="H37" s="6"/>
      <c r="I37" s="6"/>
      <c r="J37" s="29"/>
      <c r="K37" s="65"/>
      <c r="L37" s="65"/>
      <c r="M37" s="29"/>
      <c r="N37" s="65"/>
      <c r="O37" s="65">
        <v>53.6</v>
      </c>
      <c r="P37" s="6"/>
      <c r="Q37" s="65"/>
      <c r="R37" s="65"/>
      <c r="S37" s="65"/>
      <c r="T37" s="65"/>
      <c r="U37" s="6"/>
      <c r="V37" s="29"/>
      <c r="W37" s="6"/>
      <c r="X37" s="6"/>
      <c r="Y37" s="36"/>
      <c r="Z37" s="6"/>
      <c r="AA37" s="6"/>
      <c r="AB37" s="6"/>
      <c r="AC37" s="6"/>
      <c r="AD37" s="6"/>
      <c r="AE37" s="6"/>
      <c r="AF37" s="6"/>
      <c r="AG37" s="6"/>
      <c r="AH37" s="29"/>
      <c r="AI37" s="6"/>
    </row>
    <row r="38" spans="1:35" ht="13.5" thickBot="1">
      <c r="A38" s="2" t="s">
        <v>44</v>
      </c>
      <c r="B38" s="8">
        <f t="shared" si="0"/>
        <v>20</v>
      </c>
      <c r="C38" s="65"/>
      <c r="D38" s="65"/>
      <c r="E38" s="65"/>
      <c r="F38" s="65"/>
      <c r="G38" s="65"/>
      <c r="H38" s="6"/>
      <c r="I38" s="6"/>
      <c r="J38" s="29"/>
      <c r="K38" s="65"/>
      <c r="L38" s="65"/>
      <c r="M38" s="29"/>
      <c r="N38" s="65"/>
      <c r="O38" s="65">
        <v>20</v>
      </c>
      <c r="P38" s="6"/>
      <c r="Q38" s="65"/>
      <c r="R38" s="65"/>
      <c r="S38" s="65"/>
      <c r="T38" s="65"/>
      <c r="U38" s="6"/>
      <c r="V38" s="29"/>
      <c r="W38" s="6"/>
      <c r="X38" s="6"/>
      <c r="Y38" s="36"/>
      <c r="Z38" s="6"/>
      <c r="AA38" s="6"/>
      <c r="AB38" s="6"/>
      <c r="AC38" s="6"/>
      <c r="AD38" s="6"/>
      <c r="AE38" s="6"/>
      <c r="AF38" s="6"/>
      <c r="AG38" s="6"/>
      <c r="AH38" s="29"/>
      <c r="AI38" s="6"/>
    </row>
    <row r="39" spans="1:35" ht="13.5" thickBot="1">
      <c r="A39" s="2" t="s">
        <v>45</v>
      </c>
      <c r="B39" s="8">
        <f t="shared" si="0"/>
        <v>10.4</v>
      </c>
      <c r="C39" s="65"/>
      <c r="D39" s="65"/>
      <c r="E39" s="65"/>
      <c r="F39" s="65"/>
      <c r="G39" s="65"/>
      <c r="H39" s="6"/>
      <c r="I39" s="6"/>
      <c r="J39" s="29"/>
      <c r="K39" s="65"/>
      <c r="L39" s="65"/>
      <c r="M39" s="29"/>
      <c r="N39" s="65"/>
      <c r="O39" s="65">
        <v>10.4</v>
      </c>
      <c r="P39" s="6"/>
      <c r="Q39" s="65"/>
      <c r="R39" s="65"/>
      <c r="S39" s="65"/>
      <c r="T39" s="65"/>
      <c r="U39" s="6"/>
      <c r="V39" s="29"/>
      <c r="W39" s="6"/>
      <c r="X39" s="6"/>
      <c r="Y39" s="36"/>
      <c r="Z39" s="6"/>
      <c r="AA39" s="6"/>
      <c r="AB39" s="6"/>
      <c r="AC39" s="6"/>
      <c r="AD39" s="6"/>
      <c r="AE39" s="6"/>
      <c r="AF39" s="6"/>
      <c r="AG39" s="6"/>
      <c r="AH39" s="29"/>
      <c r="AI39" s="6"/>
    </row>
    <row r="40" spans="1:35" ht="13.5" thickBot="1">
      <c r="A40" s="2" t="s">
        <v>46</v>
      </c>
      <c r="B40" s="8">
        <f t="shared" si="0"/>
        <v>63.8</v>
      </c>
      <c r="C40" s="65"/>
      <c r="D40" s="65"/>
      <c r="E40" s="65"/>
      <c r="F40" s="65"/>
      <c r="G40" s="65"/>
      <c r="H40" s="6"/>
      <c r="I40" s="6"/>
      <c r="J40" s="29"/>
      <c r="K40" s="65"/>
      <c r="L40" s="65"/>
      <c r="M40" s="29"/>
      <c r="N40" s="65">
        <v>26.2</v>
      </c>
      <c r="O40" s="65">
        <v>9.6</v>
      </c>
      <c r="P40" s="6">
        <v>28</v>
      </c>
      <c r="Q40" s="65"/>
      <c r="R40" s="65"/>
      <c r="S40" s="65"/>
      <c r="T40" s="65"/>
      <c r="U40" s="6"/>
      <c r="V40" s="29"/>
      <c r="W40" s="6"/>
      <c r="X40" s="6"/>
      <c r="Y40" s="36"/>
      <c r="Z40" s="6"/>
      <c r="AA40" s="6"/>
      <c r="AB40" s="6"/>
      <c r="AC40" s="6"/>
      <c r="AD40" s="6"/>
      <c r="AE40" s="6"/>
      <c r="AF40" s="6"/>
      <c r="AG40" s="6"/>
      <c r="AH40" s="29"/>
      <c r="AI40" s="6"/>
    </row>
    <row r="41" spans="1:35" ht="13.5" thickBot="1">
      <c r="A41" s="2" t="s">
        <v>47</v>
      </c>
      <c r="B41" s="8">
        <f t="shared" si="0"/>
        <v>0</v>
      </c>
      <c r="C41" s="65"/>
      <c r="D41" s="65"/>
      <c r="E41" s="65"/>
      <c r="F41" s="65"/>
      <c r="G41" s="65"/>
      <c r="H41" s="6"/>
      <c r="I41" s="6"/>
      <c r="J41" s="29"/>
      <c r="K41" s="65"/>
      <c r="L41" s="65"/>
      <c r="M41" s="29"/>
      <c r="N41" s="65"/>
      <c r="O41" s="65"/>
      <c r="P41" s="6"/>
      <c r="Q41" s="65"/>
      <c r="R41" s="65"/>
      <c r="S41" s="65"/>
      <c r="T41" s="65"/>
      <c r="U41" s="6"/>
      <c r="V41" s="29"/>
      <c r="W41" s="6"/>
      <c r="X41" s="6"/>
      <c r="Y41" s="36"/>
      <c r="Z41" s="6"/>
      <c r="AA41" s="6"/>
      <c r="AB41" s="6"/>
      <c r="AC41" s="6"/>
      <c r="AD41" s="6"/>
      <c r="AE41" s="6"/>
      <c r="AF41" s="6"/>
      <c r="AG41" s="6"/>
      <c r="AH41" s="29"/>
      <c r="AI41" s="6"/>
    </row>
    <row r="42" spans="1:35" ht="13.5" thickBot="1">
      <c r="A42" s="2" t="s">
        <v>48</v>
      </c>
      <c r="B42" s="8">
        <f t="shared" si="0"/>
        <v>0</v>
      </c>
      <c r="C42" s="65"/>
      <c r="D42" s="65"/>
      <c r="E42" s="65"/>
      <c r="F42" s="65"/>
      <c r="G42" s="65"/>
      <c r="H42" s="6"/>
      <c r="I42" s="6"/>
      <c r="J42" s="29"/>
      <c r="K42" s="65"/>
      <c r="L42" s="65"/>
      <c r="M42" s="29"/>
      <c r="N42" s="65"/>
      <c r="O42" s="65"/>
      <c r="P42" s="6"/>
      <c r="Q42" s="65"/>
      <c r="R42" s="65"/>
      <c r="S42" s="65"/>
      <c r="T42" s="65"/>
      <c r="U42" s="6"/>
      <c r="V42" s="29"/>
      <c r="W42" s="6"/>
      <c r="X42" s="6"/>
      <c r="Y42" s="36"/>
      <c r="Z42" s="6"/>
      <c r="AA42" s="6"/>
      <c r="AB42" s="6"/>
      <c r="AC42" s="6"/>
      <c r="AD42" s="6"/>
      <c r="AE42" s="6"/>
      <c r="AF42" s="6"/>
      <c r="AG42" s="6"/>
      <c r="AH42" s="29"/>
      <c r="AI42" s="6"/>
    </row>
    <row r="43" spans="1:35" ht="13.5" thickBot="1">
      <c r="A43" s="2" t="s">
        <v>49</v>
      </c>
      <c r="B43" s="8">
        <f t="shared" si="0"/>
        <v>0</v>
      </c>
      <c r="C43" s="65"/>
      <c r="D43" s="65"/>
      <c r="E43" s="65"/>
      <c r="F43" s="65"/>
      <c r="G43" s="65"/>
      <c r="H43" s="6"/>
      <c r="I43" s="6"/>
      <c r="J43" s="29"/>
      <c r="K43" s="65"/>
      <c r="L43" s="65"/>
      <c r="M43" s="29"/>
      <c r="N43" s="65"/>
      <c r="O43" s="65"/>
      <c r="P43" s="6"/>
      <c r="Q43" s="65"/>
      <c r="R43" s="65"/>
      <c r="S43" s="65"/>
      <c r="T43" s="65"/>
      <c r="U43" s="6"/>
      <c r="V43" s="29"/>
      <c r="W43" s="6"/>
      <c r="X43" s="6"/>
      <c r="Y43" s="36"/>
      <c r="Z43" s="6"/>
      <c r="AA43" s="6"/>
      <c r="AB43" s="6"/>
      <c r="AC43" s="6"/>
      <c r="AD43" s="6"/>
      <c r="AE43" s="6"/>
      <c r="AF43" s="6"/>
      <c r="AG43" s="6"/>
      <c r="AH43" s="29"/>
      <c r="AI43" s="6"/>
    </row>
    <row r="44" spans="1:35" ht="13.5" thickBot="1">
      <c r="A44" s="2" t="s">
        <v>2</v>
      </c>
      <c r="B44" s="8">
        <f t="shared" si="0"/>
        <v>70</v>
      </c>
      <c r="C44" s="65"/>
      <c r="D44" s="65"/>
      <c r="E44" s="65"/>
      <c r="F44" s="65">
        <v>20</v>
      </c>
      <c r="G44" s="65"/>
      <c r="H44" s="6"/>
      <c r="I44" s="6"/>
      <c r="J44" s="29"/>
      <c r="K44" s="65"/>
      <c r="L44" s="65"/>
      <c r="M44" s="29"/>
      <c r="N44" s="65"/>
      <c r="O44" s="65"/>
      <c r="P44" s="6"/>
      <c r="Q44" s="65"/>
      <c r="R44" s="65"/>
      <c r="S44" s="65">
        <v>50</v>
      </c>
      <c r="T44" s="65"/>
      <c r="U44" s="6"/>
      <c r="V44" s="29"/>
      <c r="W44" s="6"/>
      <c r="X44" s="6"/>
      <c r="Y44" s="36"/>
      <c r="Z44" s="6"/>
      <c r="AA44" s="6"/>
      <c r="AB44" s="6"/>
      <c r="AC44" s="6"/>
      <c r="AD44" s="6"/>
      <c r="AE44" s="6"/>
      <c r="AF44" s="6"/>
      <c r="AG44" s="6"/>
      <c r="AH44" s="29"/>
      <c r="AI44" s="6"/>
    </row>
    <row r="45" spans="1:35" ht="13.5" thickBot="1">
      <c r="A45" s="2" t="s">
        <v>3</v>
      </c>
      <c r="B45" s="8">
        <f t="shared" si="0"/>
        <v>40</v>
      </c>
      <c r="C45" s="65"/>
      <c r="D45" s="65"/>
      <c r="E45" s="65"/>
      <c r="F45" s="65"/>
      <c r="G45" s="65"/>
      <c r="H45" s="6"/>
      <c r="I45" s="6"/>
      <c r="J45" s="29"/>
      <c r="K45" s="65"/>
      <c r="L45" s="65"/>
      <c r="M45" s="29"/>
      <c r="N45" s="65"/>
      <c r="O45" s="65"/>
      <c r="P45" s="6"/>
      <c r="Q45" s="65"/>
      <c r="R45" s="65"/>
      <c r="S45" s="65"/>
      <c r="T45" s="65">
        <v>40</v>
      </c>
      <c r="U45" s="6"/>
      <c r="V45" s="29"/>
      <c r="W45" s="6"/>
      <c r="X45" s="6"/>
      <c r="Y45" s="36"/>
      <c r="Z45" s="6"/>
      <c r="AA45" s="6"/>
      <c r="AB45" s="6"/>
      <c r="AC45" s="6"/>
      <c r="AD45" s="6"/>
      <c r="AE45" s="6"/>
      <c r="AF45" s="6"/>
      <c r="AG45" s="6"/>
      <c r="AH45" s="29"/>
      <c r="AI45" s="6"/>
    </row>
    <row r="46" spans="1:35" ht="13.5" thickBot="1">
      <c r="A46" s="2" t="s">
        <v>50</v>
      </c>
      <c r="B46" s="8">
        <f t="shared" si="0"/>
        <v>8</v>
      </c>
      <c r="C46" s="65"/>
      <c r="D46" s="65"/>
      <c r="E46" s="65">
        <v>8</v>
      </c>
      <c r="F46" s="65"/>
      <c r="G46" s="65"/>
      <c r="H46" s="6"/>
      <c r="I46" s="6"/>
      <c r="J46" s="29"/>
      <c r="K46" s="65"/>
      <c r="L46" s="65"/>
      <c r="M46" s="29"/>
      <c r="N46" s="65"/>
      <c r="O46" s="65"/>
      <c r="P46" s="6"/>
      <c r="Q46" s="65"/>
      <c r="R46" s="65"/>
      <c r="S46" s="65"/>
      <c r="T46" s="65"/>
      <c r="U46" s="6"/>
      <c r="V46" s="29"/>
      <c r="W46" s="6"/>
      <c r="X46" s="6"/>
      <c r="Y46" s="36"/>
      <c r="Z46" s="6"/>
      <c r="AA46" s="6"/>
      <c r="AB46" s="6"/>
      <c r="AC46" s="6"/>
      <c r="AD46" s="6"/>
      <c r="AE46" s="6"/>
      <c r="AF46" s="6"/>
      <c r="AG46" s="6"/>
      <c r="AH46" s="29"/>
      <c r="AI46" s="6"/>
    </row>
    <row r="47" spans="1:35" ht="13.5" thickBot="1">
      <c r="A47" s="2" t="s">
        <v>51</v>
      </c>
      <c r="B47" s="8">
        <f t="shared" si="0"/>
        <v>0</v>
      </c>
      <c r="C47" s="65"/>
      <c r="D47" s="65"/>
      <c r="E47" s="65"/>
      <c r="F47" s="65"/>
      <c r="G47" s="65"/>
      <c r="H47" s="6"/>
      <c r="I47" s="6"/>
      <c r="J47" s="29"/>
      <c r="K47" s="65"/>
      <c r="L47" s="65"/>
      <c r="M47" s="29"/>
      <c r="N47" s="65"/>
      <c r="O47" s="65"/>
      <c r="P47" s="6"/>
      <c r="Q47" s="65"/>
      <c r="R47" s="65"/>
      <c r="S47" s="65"/>
      <c r="T47" s="65"/>
      <c r="U47" s="6"/>
      <c r="V47" s="29"/>
      <c r="W47" s="6"/>
      <c r="X47" s="6"/>
      <c r="Y47" s="36"/>
      <c r="Z47" s="6"/>
      <c r="AA47" s="6"/>
      <c r="AB47" s="6"/>
      <c r="AC47" s="6"/>
      <c r="AD47" s="6"/>
      <c r="AE47" s="6"/>
      <c r="AF47" s="6"/>
      <c r="AG47" s="6"/>
      <c r="AH47" s="29"/>
      <c r="AI47" s="6"/>
    </row>
    <row r="48" spans="1:35" ht="13.5" thickBot="1">
      <c r="A48" s="2" t="s">
        <v>52</v>
      </c>
      <c r="B48" s="8">
        <f t="shared" si="0"/>
        <v>0</v>
      </c>
      <c r="C48" s="65"/>
      <c r="D48" s="65"/>
      <c r="E48" s="65"/>
      <c r="F48" s="65"/>
      <c r="G48" s="65"/>
      <c r="H48" s="6"/>
      <c r="I48" s="6"/>
      <c r="J48" s="29"/>
      <c r="K48" s="65"/>
      <c r="L48" s="65"/>
      <c r="M48" s="29"/>
      <c r="N48" s="65"/>
      <c r="O48" s="65"/>
      <c r="P48" s="6"/>
      <c r="Q48" s="65"/>
      <c r="R48" s="65"/>
      <c r="S48" s="65"/>
      <c r="T48" s="65"/>
      <c r="U48" s="6"/>
      <c r="V48" s="29"/>
      <c r="W48" s="6"/>
      <c r="X48" s="6"/>
      <c r="Y48" s="36"/>
      <c r="Z48" s="6"/>
      <c r="AA48" s="6"/>
      <c r="AB48" s="6"/>
      <c r="AC48" s="6"/>
      <c r="AD48" s="6"/>
      <c r="AE48" s="6"/>
      <c r="AF48" s="6"/>
      <c r="AG48" s="6"/>
      <c r="AH48" s="29"/>
      <c r="AI48" s="6"/>
    </row>
    <row r="49" spans="1:35" ht="13.5" thickBot="1">
      <c r="A49" s="2" t="s">
        <v>13</v>
      </c>
      <c r="B49" s="8">
        <f t="shared" si="0"/>
        <v>200</v>
      </c>
      <c r="C49" s="65"/>
      <c r="D49" s="65"/>
      <c r="E49" s="65"/>
      <c r="F49" s="65"/>
      <c r="G49" s="65"/>
      <c r="H49" s="6"/>
      <c r="I49" s="6"/>
      <c r="J49" s="29"/>
      <c r="K49" s="65"/>
      <c r="L49" s="65"/>
      <c r="M49" s="29"/>
      <c r="N49" s="65"/>
      <c r="O49" s="65"/>
      <c r="P49" s="6"/>
      <c r="Q49" s="65"/>
      <c r="R49" s="65">
        <v>200</v>
      </c>
      <c r="S49" s="65"/>
      <c r="T49" s="65"/>
      <c r="U49" s="6"/>
      <c r="V49" s="29"/>
      <c r="W49" s="6"/>
      <c r="X49" s="6"/>
      <c r="Y49" s="36"/>
      <c r="Z49" s="6"/>
      <c r="AA49" s="6"/>
      <c r="AB49" s="6"/>
      <c r="AC49" s="6"/>
      <c r="AD49" s="6"/>
      <c r="AE49" s="6"/>
      <c r="AF49" s="6"/>
      <c r="AG49" s="6"/>
      <c r="AH49" s="29"/>
      <c r="AI49" s="6"/>
    </row>
    <row r="50" spans="1:35" ht="13.5" thickBot="1">
      <c r="A50" s="2" t="s">
        <v>53</v>
      </c>
      <c r="B50" s="8">
        <f t="shared" si="0"/>
        <v>0</v>
      </c>
      <c r="C50" s="65"/>
      <c r="D50" s="65"/>
      <c r="E50" s="65"/>
      <c r="F50" s="65"/>
      <c r="G50" s="65"/>
      <c r="H50" s="6"/>
      <c r="I50" s="6"/>
      <c r="J50" s="29"/>
      <c r="K50" s="65"/>
      <c r="L50" s="65"/>
      <c r="M50" s="29"/>
      <c r="N50" s="65"/>
      <c r="O50" s="65"/>
      <c r="P50" s="6"/>
      <c r="Q50" s="65"/>
      <c r="R50" s="65"/>
      <c r="S50" s="65"/>
      <c r="T50" s="65"/>
      <c r="U50" s="6"/>
      <c r="V50" s="29"/>
      <c r="W50" s="6"/>
      <c r="X50" s="6"/>
      <c r="Y50" s="36"/>
      <c r="Z50" s="6"/>
      <c r="AA50" s="6"/>
      <c r="AB50" s="6"/>
      <c r="AC50" s="6"/>
      <c r="AD50" s="6"/>
      <c r="AE50" s="6"/>
      <c r="AF50" s="6"/>
      <c r="AG50" s="6"/>
      <c r="AH50" s="29"/>
      <c r="AI50" s="6"/>
    </row>
    <row r="51" spans="1:35" ht="26.25" thickBot="1">
      <c r="A51" s="2" t="s">
        <v>115</v>
      </c>
      <c r="B51" s="64">
        <f t="shared" si="0"/>
        <v>0</v>
      </c>
      <c r="C51" s="2"/>
      <c r="D51" s="2"/>
      <c r="E51" s="2"/>
      <c r="F51" s="2"/>
      <c r="G51" s="65"/>
      <c r="H51" s="2"/>
      <c r="I51" s="2"/>
      <c r="J51" s="65"/>
      <c r="K51" s="2"/>
      <c r="L51" s="6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5"/>
      <c r="AI51" s="2"/>
    </row>
  </sheetData>
  <mergeCells count="20">
    <mergeCell ref="Z4:AH4"/>
    <mergeCell ref="C4:J4"/>
    <mergeCell ref="K4:L4"/>
    <mergeCell ref="N4:V4"/>
    <mergeCell ref="W4:X4"/>
    <mergeCell ref="AB1:AH1"/>
    <mergeCell ref="B1:J1"/>
    <mergeCell ref="K1:L1"/>
    <mergeCell ref="N1:V1"/>
    <mergeCell ref="W1:X1"/>
    <mergeCell ref="AB2:AH2"/>
    <mergeCell ref="B3:J3"/>
    <mergeCell ref="K3:L3"/>
    <mergeCell ref="N3:V3"/>
    <mergeCell ref="W3:X3"/>
    <mergeCell ref="AB3:AH3"/>
    <mergeCell ref="B2:J2"/>
    <mergeCell ref="K2:L2"/>
    <mergeCell ref="N2:V2"/>
    <mergeCell ref="W2:X2"/>
  </mergeCells>
  <phoneticPr fontId="4" type="noConversion"/>
  <pageMargins left="0.16" right="0.16" top="0.2" bottom="0.22" header="0.16" footer="0.15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  <vt:lpstr>Таблица подсчета</vt:lpstr>
    </vt:vector>
  </TitlesOfParts>
  <Company>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NRUSER</dc:creator>
  <cp:lastModifiedBy>Людмила</cp:lastModifiedBy>
  <cp:lastPrinted>2013-04-05T11:48:42Z</cp:lastPrinted>
  <dcterms:created xsi:type="dcterms:W3CDTF">2009-02-11T16:19:09Z</dcterms:created>
  <dcterms:modified xsi:type="dcterms:W3CDTF">2020-12-22T10:14:37Z</dcterms:modified>
</cp:coreProperties>
</file>