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352" windowHeight="8388" firstSheet="1" activeTab="1"/>
  </bookViews>
  <sheets>
    <sheet name="чистый (12)" sheetId="1" state="hidden" r:id="rId1"/>
    <sheet name="Норматив.затраты -всего 2020-21" sheetId="2" r:id="rId2"/>
    <sheet name="Непосред.связ. с мун.ус.2020-21" sheetId="3" r:id="rId3"/>
    <sheet name="Общехозяйств. расходы 2020-21" sheetId="4" r:id="rId4"/>
    <sheet name="Заработная плата 2020-21" sheetId="5" r:id="rId5"/>
    <sheet name="Нормативные затраты -всего 2019" sheetId="6" r:id="rId6"/>
    <sheet name="Непосред. связ. с мун. усл.2019" sheetId="7" r:id="rId7"/>
    <sheet name="Общехозяйственные расходы 2019" sheetId="8" r:id="rId8"/>
    <sheet name="Заработная плата 2019" sheetId="9" r:id="rId9"/>
  </sheets>
  <definedNames>
    <definedName name="_xlnm.Print_Area" localSheetId="6">'Непосред. связ. с мун. усл.2019'!$A$1:$O$36</definedName>
    <definedName name="_xlnm.Print_Area" localSheetId="2">'Непосред.связ. с мун.ус.2020-21'!$A$1:$O$36</definedName>
    <definedName name="_xlnm.Print_Area" localSheetId="1">'Норматив.затраты -всего 2020-21'!$A$1:$I$47</definedName>
    <definedName name="_xlnm.Print_Area" localSheetId="5">'Нормативные затраты -всего 2019'!$A$1:$I$47</definedName>
    <definedName name="_xlnm.Print_Area" localSheetId="3">'Общехозяйств. расходы 2020-21'!$A$1:$R$36</definedName>
    <definedName name="_xlnm.Print_Area" localSheetId="7">'Общехозяйственные расходы 2019'!$A$1:$S$36</definedName>
  </definedNames>
  <calcPr fullCalcOnLoad="1"/>
</workbook>
</file>

<file path=xl/sharedStrings.xml><?xml version="1.0" encoding="utf-8"?>
<sst xmlns="http://schemas.openxmlformats.org/spreadsheetml/2006/main" count="446" uniqueCount="146">
  <si>
    <t>Наименование учреждений</t>
  </si>
  <si>
    <t>ИТОГО</t>
  </si>
  <si>
    <t>ВСЕГО</t>
  </si>
  <si>
    <t>ЦБ</t>
  </si>
  <si>
    <t>Специалисты</t>
  </si>
  <si>
    <t>Опека</t>
  </si>
  <si>
    <t>РОО (МК)</t>
  </si>
  <si>
    <t>МБОУ "Засурская ООШ"</t>
  </si>
  <si>
    <t>МБОУ "Кукшумская ООШ"</t>
  </si>
  <si>
    <t>МБОУ "Персирланская ООШ"</t>
  </si>
  <si>
    <t>МБОУ "Ст.Тиньгешская СОШ</t>
  </si>
  <si>
    <t>МБОУ "Чебаковская ООШ"</t>
  </si>
  <si>
    <t>МБОУ "Балдаевская СОШ"</t>
  </si>
  <si>
    <t>МБОУ "Б.Сундырская ООШ НШ-ДС"</t>
  </si>
  <si>
    <t>МБОУ "Б.Чурашевская СОШ"</t>
  </si>
  <si>
    <t>МБОУ "В.Ачакская  СОШ"</t>
  </si>
  <si>
    <t>МБОУ "М.Карачкинская ООШ</t>
  </si>
  <si>
    <t>МБОУ "Николаевская ООШ"</t>
  </si>
  <si>
    <t>МБОУ "Селоядринская СОШ"</t>
  </si>
  <si>
    <t>МБОУ "Советская СОШ"</t>
  </si>
  <si>
    <t>МБОУ "Хочашевская ООШ"</t>
  </si>
  <si>
    <t>МБОУ "Ювановская СОШ"</t>
  </si>
  <si>
    <t>МБОУ "СОШ №2" г.Ядрин</t>
  </si>
  <si>
    <t>МБОУ "СОШ №3" г.Ядрина</t>
  </si>
  <si>
    <t>МБОУ "Гимназия №1"</t>
  </si>
  <si>
    <t>МБДОУ "Аленушка"</t>
  </si>
  <si>
    <t>МБДОУ "Золотой ключик"</t>
  </si>
  <si>
    <t>МБДОУ "Сказка"</t>
  </si>
  <si>
    <t>МБДОУ "Березка"</t>
  </si>
  <si>
    <t>МБДОУ "Колосок"</t>
  </si>
  <si>
    <t>МБДОУ "Лесная сказка"</t>
  </si>
  <si>
    <t>МБДОУ "Радуга"</t>
  </si>
  <si>
    <t>МБДОУ "Родничок"</t>
  </si>
  <si>
    <t>МБДОУ "Солнышко"</t>
  </si>
  <si>
    <t>МБДОУ "Шусам"</t>
  </si>
  <si>
    <t>МБОУ ДОД "Ядринский районный ДДТ"</t>
  </si>
  <si>
    <t>МБОУ ДОД "Ядринский районный ДДТ" (кружки)</t>
  </si>
  <si>
    <t>МБОУ ДОД "Ядринский районный ДДТ"-всего</t>
  </si>
  <si>
    <t>МБОУ ДОД "ДЮСШ"ФСК"Присурье"</t>
  </si>
  <si>
    <t>МБОУ ДОД"Ядринская ДШИ им.А.В.Асламаса"</t>
  </si>
  <si>
    <t>МБДОУ "Пукане"</t>
  </si>
  <si>
    <t>общее образование</t>
  </si>
  <si>
    <t>МБДОУ "Росинка"</t>
  </si>
  <si>
    <t>МБОУ ДОД "ДЮСШ"ФСК"Присурье"(тренера)</t>
  </si>
  <si>
    <t>расходы, относимые к общехозяйственным</t>
  </si>
  <si>
    <t>Утвержденный  ФОТ по  ст.211</t>
  </si>
  <si>
    <t>в том числе</t>
  </si>
  <si>
    <t>ФОТ, непосредств. связ.с оказ. мун.услуги всего</t>
  </si>
  <si>
    <t>ФОТ на общехозяйственные расходы ст.211</t>
  </si>
  <si>
    <t>Утвержденный  ФОТ по  ст.213</t>
  </si>
  <si>
    <t>ФОТ, непосредств. связ.с оказ. мун.услуги ст.211</t>
  </si>
  <si>
    <t>ФОТ, непосредств. связ.с оказ. мун.услуги ст.213</t>
  </si>
  <si>
    <t>ФОТ на общехозяйственные расходы ст.213</t>
  </si>
  <si>
    <t>ФОТ на общехозяйственные расходы всего</t>
  </si>
  <si>
    <t>Проверочный столбец ст.211</t>
  </si>
  <si>
    <t>Проверочный столбец ст.213</t>
  </si>
  <si>
    <t>Исполнитель                                 Илларионова М.Ю.</t>
  </si>
  <si>
    <t>из них расходы, непоср.связ.с оказ. мун.усл. ( не более 30% от ФОТ педаг.)</t>
  </si>
  <si>
    <t xml:space="preserve">Число обучающихся (воспитанников) </t>
  </si>
  <si>
    <t xml:space="preserve">Численность обучающихся всего </t>
  </si>
  <si>
    <t>Число воспитан.  в ГКП</t>
  </si>
  <si>
    <t xml:space="preserve">Численность обучающихся (воспитанников) всего </t>
  </si>
  <si>
    <t>Общеобразовательные организации</t>
  </si>
  <si>
    <t>Дошкольные образовательные организации</t>
  </si>
  <si>
    <t>Организации дополнительного образования</t>
  </si>
  <si>
    <t>Отраслевой корректирующий коэффициент к базовому нормативу</t>
  </si>
  <si>
    <t>Территориальный корректирующий коэффициент к базовому нормативу</t>
  </si>
  <si>
    <t>Базовый норматив по ОУ</t>
  </si>
  <si>
    <t>Базовый норматив по ДОУ</t>
  </si>
  <si>
    <t>Заработная плата (ст.211)</t>
  </si>
  <si>
    <t>Начисления на выплаты по оплате труда (ст.213)</t>
  </si>
  <si>
    <t>Оплата труда всего (ст.211+ст.213)</t>
  </si>
  <si>
    <t>Услуги связи (ст.221)</t>
  </si>
  <si>
    <t>Увеличение стоимости основных средств (ст.310)</t>
  </si>
  <si>
    <t>Коммунальные услуги (ст.223)</t>
  </si>
  <si>
    <t>Работы, услуги по содержанию имущества (ст.225)</t>
  </si>
  <si>
    <t>Прочие расходы (ст.290)</t>
  </si>
  <si>
    <t>Увеличение стоимости матер-х запасов (ст.340)</t>
  </si>
  <si>
    <t>Общехозяйственные расходы на 2019 год</t>
  </si>
  <si>
    <t>Расходы, непосредственно связанные с оказанием муниципальной услуги, на 2019 год</t>
  </si>
  <si>
    <t>Нормативные затраты на оказание муниципальной услуги в 2019 году по образовательным организациям Ядринского района Чувашской Республики</t>
  </si>
  <si>
    <t>Базовый норматив  затрат на 1 обучающегося при  оказании муниципальной услуги  в 2019 году:</t>
  </si>
  <si>
    <t>в том числе:  заработная плата с начислениями</t>
  </si>
  <si>
    <t xml:space="preserve">                       коммунальные услуги и содержание имущества</t>
  </si>
  <si>
    <t>Базовый норматив  затрат, непосредственно связанных с оказанием муниципальной услуги, на 1 обучающегося на 2019 год:</t>
  </si>
  <si>
    <t>Базовый норматив  затрат на общехозяйственные нужды на 1 обучающегося на 2019 год:</t>
  </si>
  <si>
    <t>ФОТ педработников на 2020-21 год</t>
  </si>
  <si>
    <t>ФОТ АУП на 2020-21 год всего</t>
  </si>
  <si>
    <t>ФОТ прочего персонала на 2020-21 год</t>
  </si>
  <si>
    <t>ФОТ педработников на 2019 год</t>
  </si>
  <si>
    <t>ФОТ АУП на 2019 год всего</t>
  </si>
  <si>
    <t>ФОТ прочего персонала на 2019 год</t>
  </si>
  <si>
    <t>Норматив затрат, непосредств.связанных с оказанием муниц.услуги, на 1 обучающегося (воспитанника) на 2020-2021 год (руб.)</t>
  </si>
  <si>
    <t>Норматив общехозяйственных затрат на 1 обучающегося (воспитанника) на 2020-2021 год (руб.)</t>
  </si>
  <si>
    <t>Нормативные затраты на 1 обучающегося (воспитанника) на 2020-20216 год - всего (руб.)</t>
  </si>
  <si>
    <t>Нормативные затраты на оказание муниципальной услуги в 2020-2021 году по образовательным организациям Ядринского района Чувашской Республики</t>
  </si>
  <si>
    <t>Расходы, непосредственно связанные с оказанием муниципальной услуги, на 2020-2021 год</t>
  </si>
  <si>
    <t>Затраты, непосредственно связанные с оказанием муниципальных услуг, на 2020-2021 год</t>
  </si>
  <si>
    <t>Общехозяйственные расходы на 2020-2021 год</t>
  </si>
  <si>
    <t>Норматив общехозяйственных затрат на 1 обучающегося (воспитанника) на 2020-2021 год</t>
  </si>
  <si>
    <t>Норматив затрат, непосредств.связанных с оказанием муниц.услуги, на 1 обучающегося (воспитанника) на 2019 год (руб.)</t>
  </si>
  <si>
    <t>Норматив общехозяйственных затрат на 1 обучающегося (воспитанника) на 2019 год (руб.)</t>
  </si>
  <si>
    <t>Нормативные затраты на 1 обучающегося (воспитанника) на 2019год - всего (руб.)</t>
  </si>
  <si>
    <t>Затраты, непосредственно связанные с оказанием муниципальных услуг, на 2019 год</t>
  </si>
  <si>
    <t>Норматив общехозяйственных затрат на 1 обучающегося (воспитанника) на 2019 год</t>
  </si>
  <si>
    <t>Распределение фонда заработной платы по напрвлениям расходов на 2019 год (коэф-т к 2018 г. 1,0118)</t>
  </si>
  <si>
    <t>Распределение фонда заработной платы по напрвлениям расходов на 2020-2021 годы (коэф-т к 2019 г. 1,0348)</t>
  </si>
  <si>
    <t>Содержание имущества (заправка картриджей) (ст.225)</t>
  </si>
  <si>
    <t>Увеличение стоимости матер-х запасов (ст346)</t>
  </si>
  <si>
    <t>Прочие работы, услуги (услуги бух-в по вед. учета) бюджет ЧР (ст.226)</t>
  </si>
  <si>
    <t>Программное обеспечение (ст.353)</t>
  </si>
  <si>
    <t>Прочие работы, услуги (ст.226-228)</t>
  </si>
  <si>
    <t>Общеобразовательные учреждения - 19010,84 руб.</t>
  </si>
  <si>
    <t>Дошкольные образовательные учреждения - 35064,41 руб.</t>
  </si>
  <si>
    <t>Общеобразовательные учреждения - 38229,30 руб.</t>
  </si>
  <si>
    <t>Дошкольные образовательные учреждения - 32983,28руб.</t>
  </si>
  <si>
    <t>Учреждения дополнительного образования - 5130,34 руб.</t>
  </si>
  <si>
    <t>Общеобразовательные учреждения - 57240,14руб.</t>
  </si>
  <si>
    <t>Дошкольные образовательные учреждения - 68047,69 руб.</t>
  </si>
  <si>
    <t>Коммунальные услуги  и содержание имущества</t>
  </si>
  <si>
    <t>5904,93 руб.</t>
  </si>
  <si>
    <t>6963,91 руб.</t>
  </si>
  <si>
    <t>1188,52 руб.</t>
  </si>
  <si>
    <t>ФОТ с начисл. на 1 воспиатенника</t>
  </si>
  <si>
    <t xml:space="preserve">в том числе:  заработная плата с начислениями </t>
  </si>
  <si>
    <t>46872,12 руб.</t>
  </si>
  <si>
    <t>57445,71 руб.</t>
  </si>
  <si>
    <t>8590,02 руб.</t>
  </si>
  <si>
    <t>Общеобразовательные учреждения - 19442,49 руб.</t>
  </si>
  <si>
    <t>Дошкольные образовательные учреждения - 36086,45 руб.</t>
  </si>
  <si>
    <t>Учреждения дополнительного образования - 4767,72руб.</t>
  </si>
  <si>
    <t>Базовый норматив  затрат на общехозяйственные нужды на 1 обучающегося на 2020-2021 год:</t>
  </si>
  <si>
    <t>Базовый норматив  затрат, непосредственно связанных с оказанием муниципальной услуги, на 1 обучающегося на 2020-2021 год:</t>
  </si>
  <si>
    <t>Общеобразовательные учреждения - 39537,41 руб.</t>
  </si>
  <si>
    <t>Дошкольные образовательные учреждения - 34062,84 руб.</t>
  </si>
  <si>
    <t>Базовый норматив  затрат на 1 обучающегося при  оказании муниципальной услуги  в 2020-2021 году:</t>
  </si>
  <si>
    <t>48503,27 руб.</t>
  </si>
  <si>
    <t>6721,08 руб.</t>
  </si>
  <si>
    <t>59444,92 руб.</t>
  </si>
  <si>
    <t>7095,88 руб.</t>
  </si>
  <si>
    <t>1211,76 руб.</t>
  </si>
  <si>
    <t>Общеобразовательные учреждения - 58979,90 руб.</t>
  </si>
  <si>
    <t>Дошкольные образовательные учреждения - 70149,30 руб.</t>
  </si>
  <si>
    <t>Учреждения дополнительного образования - 9898,06 руб.</t>
  </si>
  <si>
    <t>Учреждения дополнительного образования - 4744,48 руб.</t>
  </si>
  <si>
    <t>Учреждения дополнительного образования - 9874,82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</si>
</sst>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&quot;р.&quot;"/>
    <numFmt numFmtId="176" formatCode="#,##0.0&quot;р.&quot;"/>
    <numFmt numFmtId="177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3" fillId="32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1" fontId="1" fillId="3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32" borderId="10" xfId="0" applyNumberFormat="1" applyFont="1" applyFill="1" applyBorder="1" applyAlignment="1">
      <alignment/>
    </xf>
    <xf numFmtId="173" fontId="3" fillId="32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/>
    </xf>
    <xf numFmtId="1" fontId="3" fillId="32" borderId="10" xfId="0" applyNumberFormat="1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right"/>
    </xf>
    <xf numFmtId="1" fontId="1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2" fontId="2" fillId="33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2" fontId="2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3" fillId="3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3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3" fillId="37" borderId="10" xfId="0" applyNumberFormat="1" applyFont="1" applyFill="1" applyBorder="1" applyAlignment="1">
      <alignment/>
    </xf>
    <xf numFmtId="173" fontId="3" fillId="37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46" fillId="0" borderId="0" xfId="0" applyFont="1" applyFill="1" applyAlignment="1">
      <alignment/>
    </xf>
    <xf numFmtId="0" fontId="9" fillId="38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2" fontId="1" fillId="37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50390625" style="0" customWidth="1"/>
    <col min="2" max="2" width="36.125" style="0" customWidth="1"/>
    <col min="3" max="3" width="10.125" style="0" customWidth="1"/>
    <col min="4" max="5" width="10.50390625" style="0" customWidth="1"/>
    <col min="6" max="6" width="9.625" style="0" customWidth="1"/>
    <col min="7" max="7" width="8.875" style="0" customWidth="1"/>
    <col min="8" max="8" width="8.625" style="0" customWidth="1"/>
    <col min="9" max="9" width="10.50390625" style="0" customWidth="1"/>
    <col min="10" max="11" width="10.125" style="0" customWidth="1"/>
    <col min="12" max="12" width="8.50390625" style="0" customWidth="1"/>
    <col min="13" max="13" width="10.875" style="0" customWidth="1"/>
  </cols>
  <sheetData>
    <row r="1" spans="2:3" ht="12.75">
      <c r="B1" s="15">
        <v>2014</v>
      </c>
      <c r="C1" s="3"/>
    </row>
    <row r="2" spans="2:3" ht="12.75">
      <c r="B2" s="3"/>
      <c r="C2" s="3"/>
    </row>
    <row r="3" spans="1:14" ht="44.25" customHeight="1">
      <c r="A3" s="1"/>
      <c r="B3" s="13" t="s">
        <v>0</v>
      </c>
      <c r="C3" s="10"/>
      <c r="D3" s="10"/>
      <c r="E3" s="7"/>
      <c r="F3" s="7"/>
      <c r="G3" s="7"/>
      <c r="H3" s="7"/>
      <c r="I3" s="7"/>
      <c r="J3" s="7"/>
      <c r="K3" s="7"/>
      <c r="L3" s="7"/>
      <c r="M3" s="26"/>
      <c r="N3" s="7"/>
    </row>
    <row r="4" spans="1:14" ht="12.75">
      <c r="A4" s="2">
        <v>1</v>
      </c>
      <c r="B4" s="2" t="s">
        <v>7</v>
      </c>
      <c r="C4" s="27"/>
      <c r="D4" s="16"/>
      <c r="E4" s="16"/>
      <c r="F4" s="18"/>
      <c r="G4" s="16"/>
      <c r="H4" s="16"/>
      <c r="I4" s="16"/>
      <c r="J4" s="16"/>
      <c r="K4" s="16"/>
      <c r="L4" s="16"/>
      <c r="M4" s="21"/>
      <c r="N4" s="16"/>
    </row>
    <row r="5" spans="1:14" ht="12.75">
      <c r="A5" s="2">
        <f aca="true" t="shared" si="0" ref="A5:A21">SUM(A4+1)</f>
        <v>2</v>
      </c>
      <c r="B5" s="5" t="s">
        <v>8</v>
      </c>
      <c r="C5" s="27"/>
      <c r="D5" s="16"/>
      <c r="E5" s="16"/>
      <c r="F5" s="18"/>
      <c r="G5" s="16"/>
      <c r="H5" s="16"/>
      <c r="I5" s="16"/>
      <c r="J5" s="16"/>
      <c r="K5" s="16"/>
      <c r="L5" s="16"/>
      <c r="M5" s="21"/>
      <c r="N5" s="16"/>
    </row>
    <row r="6" spans="1:14" ht="12.75">
      <c r="A6" s="2">
        <f t="shared" si="0"/>
        <v>3</v>
      </c>
      <c r="B6" s="5" t="s">
        <v>9</v>
      </c>
      <c r="C6" s="27"/>
      <c r="D6" s="16"/>
      <c r="E6" s="16"/>
      <c r="F6" s="18"/>
      <c r="G6" s="16"/>
      <c r="H6" s="16"/>
      <c r="I6" s="16"/>
      <c r="J6" s="16"/>
      <c r="K6" s="16"/>
      <c r="L6" s="16"/>
      <c r="M6" s="21"/>
      <c r="N6" s="16"/>
    </row>
    <row r="7" spans="1:14" ht="12.75">
      <c r="A7" s="2">
        <f t="shared" si="0"/>
        <v>4</v>
      </c>
      <c r="B7" s="5" t="s">
        <v>10</v>
      </c>
      <c r="C7" s="27"/>
      <c r="D7" s="16"/>
      <c r="E7" s="16"/>
      <c r="F7" s="18"/>
      <c r="G7" s="16"/>
      <c r="H7" s="16"/>
      <c r="I7" s="16"/>
      <c r="J7" s="16"/>
      <c r="K7" s="16"/>
      <c r="L7" s="16"/>
      <c r="M7" s="21"/>
      <c r="N7" s="16"/>
    </row>
    <row r="8" spans="1:14" ht="12.75">
      <c r="A8" s="2">
        <f t="shared" si="0"/>
        <v>5</v>
      </c>
      <c r="B8" s="5" t="s">
        <v>11</v>
      </c>
      <c r="C8" s="27"/>
      <c r="D8" s="16"/>
      <c r="E8" s="16"/>
      <c r="F8" s="18"/>
      <c r="G8" s="16"/>
      <c r="H8" s="16"/>
      <c r="I8" s="16"/>
      <c r="J8" s="16"/>
      <c r="K8" s="16"/>
      <c r="L8" s="16"/>
      <c r="M8" s="21"/>
      <c r="N8" s="16"/>
    </row>
    <row r="9" spans="1:14" ht="12.75">
      <c r="A9" s="2">
        <f t="shared" si="0"/>
        <v>6</v>
      </c>
      <c r="B9" s="5" t="s">
        <v>12</v>
      </c>
      <c r="C9" s="27"/>
      <c r="D9" s="16"/>
      <c r="E9" s="16"/>
      <c r="F9" s="18"/>
      <c r="G9" s="16"/>
      <c r="H9" s="16"/>
      <c r="I9" s="16"/>
      <c r="J9" s="16"/>
      <c r="K9" s="16"/>
      <c r="L9" s="16"/>
      <c r="M9" s="21"/>
      <c r="N9" s="16"/>
    </row>
    <row r="10" spans="1:14" ht="12.75">
      <c r="A10" s="2">
        <f t="shared" si="0"/>
        <v>7</v>
      </c>
      <c r="B10" s="5" t="s">
        <v>13</v>
      </c>
      <c r="C10" s="27"/>
      <c r="D10" s="16"/>
      <c r="E10" s="16"/>
      <c r="F10" s="18"/>
      <c r="G10" s="16"/>
      <c r="H10" s="16"/>
      <c r="I10" s="16"/>
      <c r="J10" s="16"/>
      <c r="K10" s="16"/>
      <c r="L10" s="16"/>
      <c r="M10" s="21"/>
      <c r="N10" s="16"/>
    </row>
    <row r="11" spans="1:14" ht="12.75">
      <c r="A11" s="2">
        <f t="shared" si="0"/>
        <v>8</v>
      </c>
      <c r="B11" s="5" t="s">
        <v>14</v>
      </c>
      <c r="C11" s="27"/>
      <c r="D11" s="16"/>
      <c r="E11" s="16"/>
      <c r="F11" s="18"/>
      <c r="G11" s="16"/>
      <c r="H11" s="16"/>
      <c r="I11" s="16"/>
      <c r="J11" s="16"/>
      <c r="K11" s="16"/>
      <c r="L11" s="16"/>
      <c r="M11" s="21"/>
      <c r="N11" s="16"/>
    </row>
    <row r="12" spans="1:14" ht="12.75">
      <c r="A12" s="2">
        <f t="shared" si="0"/>
        <v>9</v>
      </c>
      <c r="B12" s="5" t="s">
        <v>15</v>
      </c>
      <c r="C12" s="27"/>
      <c r="D12" s="16"/>
      <c r="E12" s="16"/>
      <c r="F12" s="18"/>
      <c r="G12" s="16"/>
      <c r="H12" s="16"/>
      <c r="I12" s="16"/>
      <c r="J12" s="16"/>
      <c r="K12" s="16"/>
      <c r="L12" s="16"/>
      <c r="M12" s="21"/>
      <c r="N12" s="16"/>
    </row>
    <row r="13" spans="1:14" ht="12.75">
      <c r="A13" s="2">
        <f t="shared" si="0"/>
        <v>10</v>
      </c>
      <c r="B13" s="5" t="s">
        <v>16</v>
      </c>
      <c r="C13" s="27"/>
      <c r="D13" s="16"/>
      <c r="E13" s="16"/>
      <c r="F13" s="18"/>
      <c r="G13" s="16"/>
      <c r="H13" s="16"/>
      <c r="I13" s="16"/>
      <c r="J13" s="16"/>
      <c r="K13" s="16"/>
      <c r="L13" s="16"/>
      <c r="M13" s="21"/>
      <c r="N13" s="16"/>
    </row>
    <row r="14" spans="1:14" ht="12.75">
      <c r="A14" s="2">
        <f t="shared" si="0"/>
        <v>11</v>
      </c>
      <c r="B14" s="5" t="s">
        <v>17</v>
      </c>
      <c r="C14" s="27"/>
      <c r="D14" s="16"/>
      <c r="E14" s="16"/>
      <c r="F14" s="16"/>
      <c r="G14" s="16"/>
      <c r="H14" s="16"/>
      <c r="I14" s="16"/>
      <c r="J14" s="16"/>
      <c r="K14" s="16"/>
      <c r="L14" s="16"/>
      <c r="M14" s="21"/>
      <c r="N14" s="16"/>
    </row>
    <row r="15" spans="1:14" ht="12.75">
      <c r="A15" s="2">
        <f t="shared" si="0"/>
        <v>12</v>
      </c>
      <c r="B15" s="5" t="s">
        <v>18</v>
      </c>
      <c r="C15" s="27"/>
      <c r="D15" s="16"/>
      <c r="E15" s="16"/>
      <c r="F15" s="18"/>
      <c r="G15" s="16"/>
      <c r="H15" s="16"/>
      <c r="I15" s="16"/>
      <c r="J15" s="16"/>
      <c r="K15" s="16"/>
      <c r="L15" s="16"/>
      <c r="M15" s="21"/>
      <c r="N15" s="16"/>
    </row>
    <row r="16" spans="1:14" ht="12.75">
      <c r="A16" s="2">
        <f t="shared" si="0"/>
        <v>13</v>
      </c>
      <c r="B16" s="5" t="s">
        <v>19</v>
      </c>
      <c r="C16" s="27"/>
      <c r="D16" s="16"/>
      <c r="E16" s="16"/>
      <c r="F16" s="18"/>
      <c r="G16" s="16"/>
      <c r="H16" s="16"/>
      <c r="I16" s="16"/>
      <c r="J16" s="16"/>
      <c r="K16" s="16"/>
      <c r="L16" s="16"/>
      <c r="M16" s="21"/>
      <c r="N16" s="16"/>
    </row>
    <row r="17" spans="1:14" ht="12.75">
      <c r="A17" s="2">
        <f t="shared" si="0"/>
        <v>14</v>
      </c>
      <c r="B17" s="5" t="s">
        <v>20</v>
      </c>
      <c r="C17" s="27"/>
      <c r="D17" s="16"/>
      <c r="E17" s="16"/>
      <c r="F17" s="18"/>
      <c r="G17" s="16"/>
      <c r="H17" s="16"/>
      <c r="I17" s="16"/>
      <c r="J17" s="16"/>
      <c r="K17" s="16"/>
      <c r="L17" s="16"/>
      <c r="M17" s="21"/>
      <c r="N17" s="16"/>
    </row>
    <row r="18" spans="1:14" ht="12.75">
      <c r="A18" s="2">
        <f t="shared" si="0"/>
        <v>15</v>
      </c>
      <c r="B18" s="2" t="s">
        <v>21</v>
      </c>
      <c r="C18" s="27"/>
      <c r="D18" s="16"/>
      <c r="E18" s="16"/>
      <c r="F18" s="18"/>
      <c r="G18" s="16"/>
      <c r="H18" s="16"/>
      <c r="I18" s="16"/>
      <c r="J18" s="16"/>
      <c r="K18" s="16"/>
      <c r="L18" s="16"/>
      <c r="M18" s="21"/>
      <c r="N18" s="16"/>
    </row>
    <row r="19" spans="1:14" ht="12.75">
      <c r="A19" s="2">
        <f t="shared" si="0"/>
        <v>16</v>
      </c>
      <c r="B19" s="2" t="s">
        <v>22</v>
      </c>
      <c r="C19" s="27"/>
      <c r="D19" s="16"/>
      <c r="E19" s="16"/>
      <c r="F19" s="18"/>
      <c r="G19" s="16"/>
      <c r="H19" s="16"/>
      <c r="I19" s="16"/>
      <c r="J19" s="16"/>
      <c r="K19" s="16"/>
      <c r="L19" s="16"/>
      <c r="M19" s="21"/>
      <c r="N19" s="16"/>
    </row>
    <row r="20" spans="1:14" ht="12.75">
      <c r="A20" s="2">
        <f t="shared" si="0"/>
        <v>17</v>
      </c>
      <c r="B20" s="2" t="s">
        <v>23</v>
      </c>
      <c r="C20" s="27"/>
      <c r="D20" s="16"/>
      <c r="E20" s="16"/>
      <c r="F20" s="18"/>
      <c r="G20" s="16"/>
      <c r="H20" s="16"/>
      <c r="I20" s="16"/>
      <c r="J20" s="16"/>
      <c r="K20" s="18"/>
      <c r="L20" s="18"/>
      <c r="M20" s="21"/>
      <c r="N20" s="18"/>
    </row>
    <row r="21" spans="1:14" ht="12.75">
      <c r="A21" s="2">
        <f t="shared" si="0"/>
        <v>18</v>
      </c>
      <c r="B21" s="2" t="s">
        <v>24</v>
      </c>
      <c r="C21" s="27"/>
      <c r="D21" s="16"/>
      <c r="E21" s="16"/>
      <c r="F21" s="18"/>
      <c r="G21" s="16"/>
      <c r="H21" s="16"/>
      <c r="I21" s="16"/>
      <c r="J21" s="16"/>
      <c r="K21" s="16"/>
      <c r="L21" s="16"/>
      <c r="M21" s="21"/>
      <c r="N21" s="16"/>
    </row>
    <row r="22" spans="1:14" ht="12.75">
      <c r="A22" s="14">
        <v>18</v>
      </c>
      <c r="B22" s="4" t="s">
        <v>1</v>
      </c>
      <c r="C22" s="28">
        <f aca="true" t="shared" si="1" ref="C22:K22">SUM(C4:C21)</f>
        <v>0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</v>
      </c>
      <c r="L22" s="17">
        <f>SUM(L4:L21)</f>
        <v>0</v>
      </c>
      <c r="M22" s="22">
        <f>SUM(M4:M21)</f>
        <v>0</v>
      </c>
      <c r="N22" s="17">
        <f>SUM(N4:N21)</f>
        <v>0</v>
      </c>
    </row>
    <row r="23" spans="1:14" ht="12.75">
      <c r="A23" s="2">
        <v>1</v>
      </c>
      <c r="B23" s="2" t="s">
        <v>25</v>
      </c>
      <c r="C23" s="27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16"/>
    </row>
    <row r="24" spans="1:14" ht="12.75">
      <c r="A24" s="2">
        <f aca="true" t="shared" si="2" ref="A24:A33">SUM(A23+1)</f>
        <v>2</v>
      </c>
      <c r="B24" s="2" t="s">
        <v>26</v>
      </c>
      <c r="C24" s="27"/>
      <c r="D24" s="16"/>
      <c r="E24" s="16"/>
      <c r="F24" s="16"/>
      <c r="G24" s="16"/>
      <c r="H24" s="16"/>
      <c r="I24" s="16"/>
      <c r="J24" s="16"/>
      <c r="K24" s="16"/>
      <c r="L24" s="16"/>
      <c r="M24" s="21"/>
      <c r="N24" s="16"/>
    </row>
    <row r="25" spans="1:14" ht="12.75">
      <c r="A25" s="2">
        <f t="shared" si="2"/>
        <v>3</v>
      </c>
      <c r="B25" s="2" t="s">
        <v>27</v>
      </c>
      <c r="C25" s="27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16"/>
    </row>
    <row r="26" spans="1:14" ht="12.75">
      <c r="A26" s="2">
        <f t="shared" si="2"/>
        <v>4</v>
      </c>
      <c r="B26" s="2" t="s">
        <v>40</v>
      </c>
      <c r="C26" s="27"/>
      <c r="D26" s="16"/>
      <c r="E26" s="16"/>
      <c r="F26" s="16"/>
      <c r="G26" s="16"/>
      <c r="H26" s="16"/>
      <c r="I26" s="16"/>
      <c r="J26" s="16"/>
      <c r="K26" s="16"/>
      <c r="L26" s="16"/>
      <c r="M26" s="21"/>
      <c r="N26" s="16"/>
    </row>
    <row r="27" spans="1:14" ht="12.75">
      <c r="A27" s="2">
        <f t="shared" si="2"/>
        <v>5</v>
      </c>
      <c r="B27" s="2" t="s">
        <v>28</v>
      </c>
      <c r="C27" s="27"/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16"/>
    </row>
    <row r="28" spans="1:14" ht="12.75">
      <c r="A28" s="2">
        <f t="shared" si="2"/>
        <v>6</v>
      </c>
      <c r="B28" s="2" t="s">
        <v>29</v>
      </c>
      <c r="C28" s="27"/>
      <c r="D28" s="16"/>
      <c r="E28" s="16"/>
      <c r="F28" s="16"/>
      <c r="G28" s="16"/>
      <c r="H28" s="16"/>
      <c r="I28" s="16"/>
      <c r="J28" s="16"/>
      <c r="K28" s="16"/>
      <c r="L28" s="16"/>
      <c r="M28" s="21"/>
      <c r="N28" s="16"/>
    </row>
    <row r="29" spans="1:14" ht="12.75">
      <c r="A29" s="2">
        <f t="shared" si="2"/>
        <v>7</v>
      </c>
      <c r="B29" s="2" t="s">
        <v>30</v>
      </c>
      <c r="C29" s="27"/>
      <c r="D29" s="16"/>
      <c r="E29" s="16"/>
      <c r="F29" s="16"/>
      <c r="G29" s="16"/>
      <c r="H29" s="16"/>
      <c r="I29" s="16"/>
      <c r="J29" s="16"/>
      <c r="K29" s="16"/>
      <c r="L29" s="16"/>
      <c r="M29" s="21"/>
      <c r="N29" s="16"/>
    </row>
    <row r="30" spans="1:14" ht="12.75">
      <c r="A30" s="2">
        <f t="shared" si="2"/>
        <v>8</v>
      </c>
      <c r="B30" s="2" t="s">
        <v>31</v>
      </c>
      <c r="C30" s="27"/>
      <c r="D30" s="16"/>
      <c r="E30" s="16"/>
      <c r="F30" s="16"/>
      <c r="G30" s="16"/>
      <c r="H30" s="16"/>
      <c r="I30" s="16"/>
      <c r="J30" s="16"/>
      <c r="K30" s="16"/>
      <c r="L30" s="16"/>
      <c r="M30" s="21"/>
      <c r="N30" s="16"/>
    </row>
    <row r="31" spans="1:14" ht="12.75">
      <c r="A31" s="2">
        <f t="shared" si="2"/>
        <v>9</v>
      </c>
      <c r="B31" s="2" t="s">
        <v>32</v>
      </c>
      <c r="C31" s="27"/>
      <c r="D31" s="16"/>
      <c r="E31" s="16"/>
      <c r="F31" s="16"/>
      <c r="G31" s="16"/>
      <c r="H31" s="16"/>
      <c r="I31" s="16"/>
      <c r="J31" s="16"/>
      <c r="K31" s="16"/>
      <c r="L31" s="16"/>
      <c r="M31" s="21"/>
      <c r="N31" s="16"/>
    </row>
    <row r="32" spans="1:14" ht="12.75">
      <c r="A32" s="2">
        <f t="shared" si="2"/>
        <v>10</v>
      </c>
      <c r="B32" s="2" t="s">
        <v>33</v>
      </c>
      <c r="C32" s="27"/>
      <c r="D32" s="16"/>
      <c r="E32" s="16"/>
      <c r="F32" s="16"/>
      <c r="G32" s="16"/>
      <c r="H32" s="16"/>
      <c r="I32" s="16"/>
      <c r="J32" s="16"/>
      <c r="K32" s="16"/>
      <c r="L32" s="16"/>
      <c r="M32" s="21"/>
      <c r="N32" s="16"/>
    </row>
    <row r="33" spans="1:14" ht="12.75">
      <c r="A33" s="2">
        <f t="shared" si="2"/>
        <v>11</v>
      </c>
      <c r="B33" s="2" t="s">
        <v>34</v>
      </c>
      <c r="C33" s="27"/>
      <c r="D33" s="16"/>
      <c r="E33" s="16"/>
      <c r="F33" s="16"/>
      <c r="G33" s="16"/>
      <c r="H33" s="16"/>
      <c r="I33" s="16"/>
      <c r="J33" s="16"/>
      <c r="K33" s="16"/>
      <c r="L33" s="16"/>
      <c r="M33" s="21"/>
      <c r="N33" s="16"/>
    </row>
    <row r="34" spans="1:14" ht="12.75">
      <c r="A34" s="14">
        <v>11</v>
      </c>
      <c r="B34" s="4" t="s">
        <v>1</v>
      </c>
      <c r="C34" s="28">
        <f aca="true" t="shared" si="3" ref="C34:K34">SUM(C23:C33)</f>
        <v>0</v>
      </c>
      <c r="D34" s="17">
        <f t="shared" si="3"/>
        <v>0</v>
      </c>
      <c r="E34" s="17">
        <f t="shared" si="3"/>
        <v>0</v>
      </c>
      <c r="F34" s="17">
        <f t="shared" si="3"/>
        <v>0</v>
      </c>
      <c r="G34" s="17">
        <f t="shared" si="3"/>
        <v>0</v>
      </c>
      <c r="H34" s="17">
        <f t="shared" si="3"/>
        <v>0</v>
      </c>
      <c r="I34" s="17">
        <f t="shared" si="3"/>
        <v>0</v>
      </c>
      <c r="J34" s="17">
        <f t="shared" si="3"/>
        <v>0</v>
      </c>
      <c r="K34" s="17">
        <f t="shared" si="3"/>
        <v>0</v>
      </c>
      <c r="L34" s="17">
        <f>SUM(L23:L33)</f>
        <v>0</v>
      </c>
      <c r="M34" s="22">
        <f>SUM(M23:M33)</f>
        <v>0</v>
      </c>
      <c r="N34" s="17">
        <f>SUM(N23:N33)</f>
        <v>0</v>
      </c>
    </row>
    <row r="35" spans="1:14" ht="12.75">
      <c r="A35" s="2">
        <v>1</v>
      </c>
      <c r="B35" s="2" t="s">
        <v>35</v>
      </c>
      <c r="C35" s="27"/>
      <c r="D35" s="16"/>
      <c r="E35" s="16"/>
      <c r="F35" s="16"/>
      <c r="G35" s="16"/>
      <c r="H35" s="16"/>
      <c r="I35" s="16"/>
      <c r="J35" s="16"/>
      <c r="K35" s="16"/>
      <c r="L35" s="16"/>
      <c r="M35" s="21"/>
      <c r="N35" s="16"/>
    </row>
    <row r="36" spans="1:14" ht="12.75">
      <c r="A36" s="2"/>
      <c r="B36" s="2" t="s">
        <v>36</v>
      </c>
      <c r="C36" s="27"/>
      <c r="D36" s="16"/>
      <c r="E36" s="16"/>
      <c r="F36" s="16"/>
      <c r="G36" s="16"/>
      <c r="H36" s="16"/>
      <c r="I36" s="16"/>
      <c r="J36" s="16"/>
      <c r="K36" s="16"/>
      <c r="L36" s="16"/>
      <c r="M36" s="21"/>
      <c r="N36" s="16"/>
    </row>
    <row r="37" spans="1:14" ht="12.75">
      <c r="A37" s="2"/>
      <c r="B37" s="12" t="s">
        <v>37</v>
      </c>
      <c r="C37" s="29">
        <f aca="true" t="shared" si="4" ref="C37:K37">SUM(C35:C36)</f>
        <v>0</v>
      </c>
      <c r="D37" s="19">
        <f t="shared" si="4"/>
        <v>0</v>
      </c>
      <c r="E37" s="19">
        <f t="shared" si="4"/>
        <v>0</v>
      </c>
      <c r="F37" s="19">
        <f t="shared" si="4"/>
        <v>0</v>
      </c>
      <c r="G37" s="19">
        <f t="shared" si="4"/>
        <v>0</v>
      </c>
      <c r="H37" s="19">
        <f t="shared" si="4"/>
        <v>0</v>
      </c>
      <c r="I37" s="19">
        <f t="shared" si="4"/>
        <v>0</v>
      </c>
      <c r="J37" s="19">
        <f t="shared" si="4"/>
        <v>0</v>
      </c>
      <c r="K37" s="19">
        <f t="shared" si="4"/>
        <v>0</v>
      </c>
      <c r="L37" s="19">
        <f>SUM(L35:L36)</f>
        <v>0</v>
      </c>
      <c r="M37" s="31">
        <f>SUM(M35:M36)</f>
        <v>0</v>
      </c>
      <c r="N37" s="19">
        <f>SUM(N35:N36)</f>
        <v>0</v>
      </c>
    </row>
    <row r="38" spans="1:14" ht="12.75">
      <c r="A38" s="2">
        <v>2</v>
      </c>
      <c r="B38" s="2" t="s">
        <v>38</v>
      </c>
      <c r="C38" s="27"/>
      <c r="D38" s="16"/>
      <c r="E38" s="16"/>
      <c r="F38" s="16"/>
      <c r="G38" s="16"/>
      <c r="H38" s="16"/>
      <c r="I38" s="16"/>
      <c r="J38" s="16"/>
      <c r="K38" s="16"/>
      <c r="L38" s="16"/>
      <c r="M38" s="21"/>
      <c r="N38" s="16"/>
    </row>
    <row r="39" spans="1:14" ht="12.75">
      <c r="A39" s="2">
        <v>3</v>
      </c>
      <c r="B39" s="2" t="s">
        <v>38</v>
      </c>
      <c r="C39" s="27"/>
      <c r="D39" s="16"/>
      <c r="E39" s="16"/>
      <c r="F39" s="16"/>
      <c r="G39" s="16"/>
      <c r="H39" s="16"/>
      <c r="I39" s="16"/>
      <c r="J39" s="16"/>
      <c r="K39" s="16"/>
      <c r="L39" s="16"/>
      <c r="M39" s="21"/>
      <c r="N39" s="16"/>
    </row>
    <row r="40" spans="1:14" ht="12.75">
      <c r="A40" s="2">
        <v>4</v>
      </c>
      <c r="B40" s="2" t="s">
        <v>39</v>
      </c>
      <c r="C40" s="27"/>
      <c r="D40" s="16"/>
      <c r="E40" s="16"/>
      <c r="F40" s="16"/>
      <c r="G40" s="16"/>
      <c r="H40" s="16"/>
      <c r="I40" s="16"/>
      <c r="J40" s="16"/>
      <c r="K40" s="16"/>
      <c r="L40" s="16"/>
      <c r="M40" s="21"/>
      <c r="N40" s="16"/>
    </row>
    <row r="41" spans="1:14" ht="12.75">
      <c r="A41" s="2"/>
      <c r="B41" s="2" t="s">
        <v>3</v>
      </c>
      <c r="C41" s="27"/>
      <c r="D41" s="16"/>
      <c r="E41" s="16"/>
      <c r="F41" s="16"/>
      <c r="G41" s="16"/>
      <c r="H41" s="16"/>
      <c r="I41" s="16"/>
      <c r="J41" s="16"/>
      <c r="K41" s="16"/>
      <c r="L41" s="16"/>
      <c r="M41" s="21"/>
      <c r="N41" s="16"/>
    </row>
    <row r="42" spans="1:14" ht="12.75">
      <c r="A42" s="2">
        <v>5</v>
      </c>
      <c r="B42" s="2" t="s">
        <v>6</v>
      </c>
      <c r="C42" s="27"/>
      <c r="D42" s="16"/>
      <c r="E42" s="16"/>
      <c r="F42" s="16"/>
      <c r="G42" s="16"/>
      <c r="H42" s="16"/>
      <c r="I42" s="16"/>
      <c r="J42" s="16"/>
      <c r="K42" s="16"/>
      <c r="L42" s="16"/>
      <c r="M42" s="21"/>
      <c r="N42" s="16"/>
    </row>
    <row r="43" spans="1:14" ht="12.75">
      <c r="A43" s="2"/>
      <c r="B43" s="2" t="s">
        <v>4</v>
      </c>
      <c r="C43" s="27"/>
      <c r="D43" s="16"/>
      <c r="E43" s="16"/>
      <c r="F43" s="16"/>
      <c r="G43" s="16"/>
      <c r="H43" s="16"/>
      <c r="I43" s="16"/>
      <c r="J43" s="16"/>
      <c r="K43" s="16"/>
      <c r="L43" s="16"/>
      <c r="M43" s="21"/>
      <c r="N43" s="16"/>
    </row>
    <row r="44" spans="1:14" ht="12.75">
      <c r="A44" s="2"/>
      <c r="B44" s="2" t="s">
        <v>5</v>
      </c>
      <c r="C44" s="27"/>
      <c r="D44" s="16"/>
      <c r="E44" s="16"/>
      <c r="F44" s="16"/>
      <c r="G44" s="16"/>
      <c r="H44" s="16"/>
      <c r="I44" s="16"/>
      <c r="J44" s="16"/>
      <c r="K44" s="16"/>
      <c r="L44" s="16"/>
      <c r="M44" s="21"/>
      <c r="N44" s="16"/>
    </row>
    <row r="45" spans="1:14" ht="12.75">
      <c r="A45" s="14">
        <v>5</v>
      </c>
      <c r="B45" s="4" t="s">
        <v>1</v>
      </c>
      <c r="C45" s="30">
        <f>SUM(C38:C44)</f>
        <v>0</v>
      </c>
      <c r="D45" s="30">
        <f aca="true" t="shared" si="5" ref="D45:N45">SUM(D38:D44)</f>
        <v>0</v>
      </c>
      <c r="E45" s="30">
        <f t="shared" si="5"/>
        <v>0</v>
      </c>
      <c r="F45" s="30">
        <f t="shared" si="5"/>
        <v>0</v>
      </c>
      <c r="G45" s="30">
        <f t="shared" si="5"/>
        <v>0</v>
      </c>
      <c r="H45" s="30">
        <f t="shared" si="5"/>
        <v>0</v>
      </c>
      <c r="I45" s="30">
        <f t="shared" si="5"/>
        <v>0</v>
      </c>
      <c r="J45" s="30">
        <f t="shared" si="5"/>
        <v>0</v>
      </c>
      <c r="K45" s="30">
        <f t="shared" si="5"/>
        <v>0</v>
      </c>
      <c r="L45" s="30">
        <f t="shared" si="5"/>
        <v>0</v>
      </c>
      <c r="M45" s="30">
        <f t="shared" si="5"/>
        <v>0</v>
      </c>
      <c r="N45" s="30">
        <f t="shared" si="5"/>
        <v>0</v>
      </c>
    </row>
    <row r="46" spans="1:14" ht="12.75">
      <c r="A46" s="14">
        <v>34</v>
      </c>
      <c r="B46" s="4" t="s">
        <v>2</v>
      </c>
      <c r="C46" s="28">
        <f>SUM(C22+C34+C37+C45)</f>
        <v>0</v>
      </c>
      <c r="D46" s="28">
        <f aca="true" t="shared" si="6" ref="D46:N46">SUM(D22+D34+D37+D45)</f>
        <v>0</v>
      </c>
      <c r="E46" s="28">
        <f t="shared" si="6"/>
        <v>0</v>
      </c>
      <c r="F46" s="28">
        <f t="shared" si="6"/>
        <v>0</v>
      </c>
      <c r="G46" s="28">
        <f t="shared" si="6"/>
        <v>0</v>
      </c>
      <c r="H46" s="28">
        <f t="shared" si="6"/>
        <v>0</v>
      </c>
      <c r="I46" s="28">
        <f t="shared" si="6"/>
        <v>0</v>
      </c>
      <c r="J46" s="28">
        <f t="shared" si="6"/>
        <v>0</v>
      </c>
      <c r="K46" s="28">
        <f t="shared" si="6"/>
        <v>0</v>
      </c>
      <c r="L46" s="28">
        <f t="shared" si="6"/>
        <v>0</v>
      </c>
      <c r="M46" s="28">
        <f t="shared" si="6"/>
        <v>0</v>
      </c>
      <c r="N46" s="28">
        <f t="shared" si="6"/>
        <v>0</v>
      </c>
    </row>
    <row r="47" spans="2:14" ht="12.75">
      <c r="B47" s="11" t="s">
        <v>41</v>
      </c>
      <c r="C47" s="35">
        <f>SUM(C22+C35+C40)</f>
        <v>0</v>
      </c>
      <c r="D47" s="35">
        <f aca="true" t="shared" si="7" ref="D47:N47">SUM(D22+D35+D40)</f>
        <v>0</v>
      </c>
      <c r="E47" s="35">
        <f t="shared" si="7"/>
        <v>0</v>
      </c>
      <c r="F47" s="35">
        <f t="shared" si="7"/>
        <v>0</v>
      </c>
      <c r="G47" s="35">
        <f t="shared" si="7"/>
        <v>0</v>
      </c>
      <c r="H47" s="35">
        <f t="shared" si="7"/>
        <v>0</v>
      </c>
      <c r="I47" s="35">
        <f t="shared" si="7"/>
        <v>0</v>
      </c>
      <c r="J47" s="35">
        <f t="shared" si="7"/>
        <v>0</v>
      </c>
      <c r="K47" s="35">
        <f t="shared" si="7"/>
        <v>0</v>
      </c>
      <c r="L47" s="35">
        <f t="shared" si="7"/>
        <v>0</v>
      </c>
      <c r="M47" s="35">
        <f t="shared" si="7"/>
        <v>0</v>
      </c>
      <c r="N47" s="35">
        <f t="shared" si="7"/>
        <v>0</v>
      </c>
    </row>
    <row r="48" spans="2:8" ht="12.75">
      <c r="B48" s="8"/>
      <c r="C48" s="9"/>
      <c r="G48" s="6"/>
      <c r="H48" s="6"/>
    </row>
    <row r="49" spans="2:3" ht="12.75">
      <c r="B49" s="8"/>
      <c r="C49" s="9"/>
    </row>
    <row r="50" spans="2:3" ht="12.75">
      <c r="B50" s="8"/>
      <c r="C50" s="9"/>
    </row>
  </sheetData>
  <sheetProtection/>
  <printOptions/>
  <pageMargins left="0.2" right="0.2" top="0.52" bottom="0.49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tabSelected="1" zoomScalePageLayoutView="0" workbookViewId="0" topLeftCell="A1">
      <selection activeCell="B2" sqref="B2:F2"/>
    </sheetView>
  </sheetViews>
  <sheetFormatPr defaultColWidth="9.00390625" defaultRowHeight="12.75"/>
  <cols>
    <col min="1" max="1" width="3.50390625" style="0" customWidth="1"/>
    <col min="2" max="2" width="34.625" style="0" customWidth="1"/>
    <col min="3" max="3" width="15.125" style="0" customWidth="1"/>
    <col min="4" max="4" width="13.875" style="0" customWidth="1"/>
    <col min="5" max="5" width="16.00390625" style="0" customWidth="1"/>
    <col min="6" max="6" width="11.00390625" style="0" customWidth="1"/>
    <col min="7" max="7" width="11.125" style="0" customWidth="1"/>
    <col min="8" max="8" width="8.50390625" style="0" customWidth="1"/>
    <col min="9" max="9" width="10.875" style="0" customWidth="1"/>
    <col min="10" max="10" width="6.875" style="0" customWidth="1"/>
    <col min="11" max="11" width="5.375" style="0" customWidth="1"/>
    <col min="12" max="12" width="3.00390625" style="0" customWidth="1"/>
    <col min="13" max="13" width="2.875" style="0" customWidth="1"/>
    <col min="14" max="14" width="2.625" style="0" customWidth="1"/>
    <col min="15" max="15" width="7.625" style="0" customWidth="1"/>
  </cols>
  <sheetData>
    <row r="2" spans="2:8" ht="27.75" customHeight="1">
      <c r="B2" s="79" t="s">
        <v>95</v>
      </c>
      <c r="C2" s="79"/>
      <c r="D2" s="79"/>
      <c r="E2" s="79"/>
      <c r="F2" s="79"/>
      <c r="G2" s="63"/>
      <c r="H2" s="63"/>
    </row>
    <row r="3" spans="2:3" ht="12.75">
      <c r="B3" s="3"/>
      <c r="C3" s="3"/>
    </row>
    <row r="4" spans="1:8" ht="93" customHeight="1">
      <c r="A4" s="1"/>
      <c r="B4" s="13" t="s">
        <v>0</v>
      </c>
      <c r="C4" s="44" t="s">
        <v>92</v>
      </c>
      <c r="D4" s="44" t="s">
        <v>93</v>
      </c>
      <c r="E4" s="54" t="s">
        <v>94</v>
      </c>
      <c r="F4" s="7" t="s">
        <v>65</v>
      </c>
      <c r="G4" s="44" t="s">
        <v>66</v>
      </c>
      <c r="H4" s="53"/>
    </row>
    <row r="5" spans="1:8" ht="14.25" customHeight="1">
      <c r="A5" s="1"/>
      <c r="B5" s="80" t="s">
        <v>62</v>
      </c>
      <c r="C5" s="81"/>
      <c r="D5" s="81"/>
      <c r="E5" s="81"/>
      <c r="F5" s="81"/>
      <c r="G5" s="81"/>
      <c r="H5" s="82"/>
    </row>
    <row r="6" spans="1:9" ht="12.75">
      <c r="A6" s="2">
        <v>1</v>
      </c>
      <c r="B6" s="2" t="s">
        <v>7</v>
      </c>
      <c r="C6" s="33">
        <f>'Непосред.связ. с мун.ус.2020-21'!O4</f>
        <v>66761.60550780689</v>
      </c>
      <c r="D6" s="23">
        <f>'Общехозяйств. расходы 2020-21'!R4</f>
        <v>51817.81238874483</v>
      </c>
      <c r="E6" s="24">
        <f>C6+D6</f>
        <v>118579.41789655172</v>
      </c>
      <c r="F6" s="42">
        <v>1</v>
      </c>
      <c r="G6" s="56">
        <f>E6/58979.9</f>
        <v>2.010505577265335</v>
      </c>
      <c r="H6" s="56"/>
      <c r="I6" s="6"/>
    </row>
    <row r="7" spans="1:9" ht="12.75">
      <c r="A7" s="2">
        <f aca="true" t="shared" si="0" ref="A7:A20">SUM(A6+1)</f>
        <v>2</v>
      </c>
      <c r="B7" s="5" t="s">
        <v>8</v>
      </c>
      <c r="C7" s="33">
        <f>'Непосред.связ. с мун.ус.2020-21'!O5</f>
        <v>59673.39978396571</v>
      </c>
      <c r="D7" s="23">
        <f>'Общехозяйств. расходы 2020-21'!R5</f>
        <v>31504.697730320007</v>
      </c>
      <c r="E7" s="24">
        <f aca="true" t="shared" si="1" ref="E7:E34">C7+D7</f>
        <v>91178.09751428572</v>
      </c>
      <c r="F7" s="42">
        <v>1</v>
      </c>
      <c r="G7" s="56">
        <f aca="true" t="shared" si="2" ref="G7:G21">E7/58979.9</f>
        <v>1.5459181435418798</v>
      </c>
      <c r="H7" s="56"/>
      <c r="I7" s="6"/>
    </row>
    <row r="8" spans="1:9" ht="12.75">
      <c r="A8" s="2">
        <f t="shared" si="0"/>
        <v>3</v>
      </c>
      <c r="B8" s="5" t="s">
        <v>9</v>
      </c>
      <c r="C8" s="33">
        <f>'Непосред.связ. с мун.ус.2020-21'!O6</f>
        <v>44186.24447255326</v>
      </c>
      <c r="D8" s="23">
        <f>'Общехозяйств. расходы 2020-21'!R6</f>
        <v>24212.587789128975</v>
      </c>
      <c r="E8" s="24">
        <f t="shared" si="1"/>
        <v>68398.83226168224</v>
      </c>
      <c r="F8" s="42">
        <v>1</v>
      </c>
      <c r="G8" s="56">
        <f t="shared" si="2"/>
        <v>1.1596973250494191</v>
      </c>
      <c r="H8" s="56"/>
      <c r="I8" s="6"/>
    </row>
    <row r="9" spans="1:9" ht="12.75">
      <c r="A9" s="2">
        <f t="shared" si="0"/>
        <v>4</v>
      </c>
      <c r="B9" s="5" t="s">
        <v>10</v>
      </c>
      <c r="C9" s="33">
        <f>'Непосред.связ. с мун.ус.2020-21'!O7</f>
        <v>55265.14016295686</v>
      </c>
      <c r="D9" s="23">
        <f>'Общехозяйств. расходы 2020-21'!R7</f>
        <v>22315.047307631376</v>
      </c>
      <c r="E9" s="24">
        <f t="shared" si="1"/>
        <v>77580.18747058824</v>
      </c>
      <c r="F9" s="42">
        <v>1</v>
      </c>
      <c r="G9" s="56">
        <f t="shared" si="2"/>
        <v>1.315366548105172</v>
      </c>
      <c r="H9" s="56"/>
      <c r="I9" s="6"/>
    </row>
    <row r="10" spans="1:9" ht="12.75">
      <c r="A10" s="2">
        <f t="shared" si="0"/>
        <v>5</v>
      </c>
      <c r="B10" s="5" t="s">
        <v>12</v>
      </c>
      <c r="C10" s="33">
        <f>'Непосред.связ. с мун.ус.2020-21'!O8</f>
        <v>64136.97263203116</v>
      </c>
      <c r="D10" s="23">
        <f>'Общехозяйств. расходы 2020-21'!R8</f>
        <v>29729.744406929876</v>
      </c>
      <c r="E10" s="24">
        <f t="shared" si="1"/>
        <v>93866.71703896104</v>
      </c>
      <c r="F10" s="42">
        <v>1</v>
      </c>
      <c r="G10" s="56">
        <f t="shared" si="2"/>
        <v>1.5915034959191359</v>
      </c>
      <c r="H10" s="56"/>
      <c r="I10" s="6"/>
    </row>
    <row r="11" spans="1:9" ht="12.75">
      <c r="A11" s="2">
        <f t="shared" si="0"/>
        <v>6</v>
      </c>
      <c r="B11" s="5" t="s">
        <v>14</v>
      </c>
      <c r="C11" s="33">
        <f>'Непосред.связ. с мун.ус.2020-21'!O9</f>
        <v>52770.79528137066</v>
      </c>
      <c r="D11" s="23">
        <f>'Общехозяйств. расходы 2020-21'!R9</f>
        <v>25058.07263862934</v>
      </c>
      <c r="E11" s="24">
        <f t="shared" si="1"/>
        <v>77828.86791999999</v>
      </c>
      <c r="F11" s="42">
        <v>1</v>
      </c>
      <c r="G11" s="56">
        <f t="shared" si="2"/>
        <v>1.3195829073972656</v>
      </c>
      <c r="H11" s="56"/>
      <c r="I11" s="6"/>
    </row>
    <row r="12" spans="1:9" ht="12.75">
      <c r="A12" s="2">
        <f t="shared" si="0"/>
        <v>7</v>
      </c>
      <c r="B12" s="5" t="s">
        <v>15</v>
      </c>
      <c r="C12" s="33">
        <f>'Непосред.связ. с мун.ус.2020-21'!O10</f>
        <v>42553.000277361614</v>
      </c>
      <c r="D12" s="23">
        <f>'Общехозяйств. расходы 2020-21'!R10</f>
        <v>14454.750712537374</v>
      </c>
      <c r="E12" s="24">
        <f t="shared" si="1"/>
        <v>57007.75098989899</v>
      </c>
      <c r="F12" s="42">
        <v>1</v>
      </c>
      <c r="G12" s="56">
        <f t="shared" si="2"/>
        <v>0.9665623541223194</v>
      </c>
      <c r="H12" s="56"/>
      <c r="I12" s="6"/>
    </row>
    <row r="13" spans="1:9" ht="12.75">
      <c r="A13" s="2">
        <f t="shared" si="0"/>
        <v>8</v>
      </c>
      <c r="B13" s="5" t="s">
        <v>17</v>
      </c>
      <c r="C13" s="33">
        <f>'Непосред.связ. с мун.ус.2020-21'!O11</f>
        <v>50235.360870615725</v>
      </c>
      <c r="D13" s="23">
        <f>'Общехозяйств. расходы 2020-21'!R11</f>
        <v>27143.339915901124</v>
      </c>
      <c r="E13" s="24">
        <f t="shared" si="1"/>
        <v>77378.70078651686</v>
      </c>
      <c r="F13" s="42">
        <v>1</v>
      </c>
      <c r="G13" s="56">
        <f t="shared" si="2"/>
        <v>1.3119503557401226</v>
      </c>
      <c r="H13" s="56"/>
      <c r="I13" s="6"/>
    </row>
    <row r="14" spans="1:9" ht="12.75">
      <c r="A14" s="2">
        <f t="shared" si="0"/>
        <v>9</v>
      </c>
      <c r="B14" s="5" t="s">
        <v>18</v>
      </c>
      <c r="C14" s="33">
        <f>'Непосред.связ. с мун.ус.2020-21'!O12</f>
        <v>57622.71005557036</v>
      </c>
      <c r="D14" s="23">
        <f>'Общехозяйств. расходы 2020-21'!R12</f>
        <v>28797.68658640494</v>
      </c>
      <c r="E14" s="24">
        <f t="shared" si="1"/>
        <v>86420.3966419753</v>
      </c>
      <c r="F14" s="42">
        <v>1</v>
      </c>
      <c r="G14" s="56">
        <f t="shared" si="2"/>
        <v>1.465251664414068</v>
      </c>
      <c r="H14" s="56"/>
      <c r="I14" s="6"/>
    </row>
    <row r="15" spans="1:9" ht="12.75">
      <c r="A15" s="2">
        <f t="shared" si="0"/>
        <v>10</v>
      </c>
      <c r="B15" s="5" t="s">
        <v>19</v>
      </c>
      <c r="C15" s="33">
        <f>'Непосред.связ. с мун.ус.2020-21'!O13</f>
        <v>50332.339897652935</v>
      </c>
      <c r="D15" s="23">
        <f>'Общехозяйств. расходы 2020-21'!R13</f>
        <v>27756.808999405883</v>
      </c>
      <c r="E15" s="24">
        <f t="shared" si="1"/>
        <v>78089.14889705883</v>
      </c>
      <c r="F15" s="42">
        <v>1</v>
      </c>
      <c r="G15" s="56">
        <f t="shared" si="2"/>
        <v>1.3239959528086487</v>
      </c>
      <c r="H15" s="56"/>
      <c r="I15" s="6"/>
    </row>
    <row r="16" spans="1:9" ht="12.75">
      <c r="A16" s="2">
        <f t="shared" si="0"/>
        <v>11</v>
      </c>
      <c r="B16" s="5" t="s">
        <v>20</v>
      </c>
      <c r="C16" s="33">
        <f>'Непосред.связ. с мун.ус.2020-21'!O14</f>
        <v>77412.39340545713</v>
      </c>
      <c r="D16" s="23">
        <f>'Общехозяйств. расходы 2020-21'!R14</f>
        <v>38614.37248740001</v>
      </c>
      <c r="E16" s="24">
        <f t="shared" si="1"/>
        <v>116026.76589285713</v>
      </c>
      <c r="F16" s="42">
        <v>1</v>
      </c>
      <c r="G16" s="56">
        <f t="shared" si="2"/>
        <v>1.9672255445135907</v>
      </c>
      <c r="H16" s="56"/>
      <c r="I16" s="6"/>
    </row>
    <row r="17" spans="1:9" ht="12.75">
      <c r="A17" s="2">
        <f t="shared" si="0"/>
        <v>12</v>
      </c>
      <c r="B17" s="2" t="s">
        <v>21</v>
      </c>
      <c r="C17" s="33">
        <f>'Непосред.связ. с мун.ус.2020-21'!O15</f>
        <v>54886.249149172814</v>
      </c>
      <c r="D17" s="23">
        <f>'Общехозяйств. расходы 2020-21'!R15</f>
        <v>24863.64133626408</v>
      </c>
      <c r="E17" s="24">
        <f t="shared" si="1"/>
        <v>79749.89048543689</v>
      </c>
      <c r="F17" s="42">
        <v>1</v>
      </c>
      <c r="G17" s="56">
        <f t="shared" si="2"/>
        <v>1.352153708050317</v>
      </c>
      <c r="H17" s="56"/>
      <c r="I17" s="6"/>
    </row>
    <row r="18" spans="1:9" ht="12.75">
      <c r="A18" s="2">
        <f t="shared" si="0"/>
        <v>13</v>
      </c>
      <c r="B18" s="2" t="s">
        <v>22</v>
      </c>
      <c r="C18" s="33">
        <f>'Непосред.связ. с мун.ус.2020-21'!O16</f>
        <v>33486.16657709282</v>
      </c>
      <c r="D18" s="23">
        <f>'Общехозяйств. расходы 2020-21'!R16</f>
        <v>20497.36309837887</v>
      </c>
      <c r="E18" s="24">
        <f t="shared" si="1"/>
        <v>53983.5296754717</v>
      </c>
      <c r="F18" s="42">
        <v>1</v>
      </c>
      <c r="G18" s="56">
        <f t="shared" si="2"/>
        <v>0.9152868973238628</v>
      </c>
      <c r="H18" s="56"/>
      <c r="I18" s="6"/>
    </row>
    <row r="19" spans="1:9" ht="12.75">
      <c r="A19" s="2">
        <f t="shared" si="0"/>
        <v>14</v>
      </c>
      <c r="B19" s="2" t="s">
        <v>23</v>
      </c>
      <c r="C19" s="33">
        <f>'Непосред.связ. с мун.ус.2020-21'!O17</f>
        <v>22950.498251680467</v>
      </c>
      <c r="D19" s="23">
        <f>'Общехозяйств. расходы 2020-21'!R17</f>
        <v>9517.300194921878</v>
      </c>
      <c r="E19" s="24">
        <f t="shared" si="1"/>
        <v>32467.798446602344</v>
      </c>
      <c r="F19" s="42">
        <v>1</v>
      </c>
      <c r="G19" s="56">
        <f t="shared" si="2"/>
        <v>0.5504892081302671</v>
      </c>
      <c r="H19" s="56"/>
      <c r="I19" s="6"/>
    </row>
    <row r="20" spans="1:9" ht="12.75">
      <c r="A20" s="2">
        <f t="shared" si="0"/>
        <v>15</v>
      </c>
      <c r="B20" s="2" t="s">
        <v>24</v>
      </c>
      <c r="C20" s="33">
        <f>'Непосред.связ. с мун.ус.2020-21'!O18</f>
        <v>34077.216399468474</v>
      </c>
      <c r="D20" s="23">
        <f>'Общехозяйств. расходы 2020-21'!R18</f>
        <v>20084.46883442983</v>
      </c>
      <c r="E20" s="24">
        <f t="shared" si="1"/>
        <v>54161.6852338983</v>
      </c>
      <c r="F20" s="42">
        <v>1</v>
      </c>
      <c r="G20" s="56">
        <f t="shared" si="2"/>
        <v>0.9183075121168109</v>
      </c>
      <c r="H20" s="56"/>
      <c r="I20" s="6"/>
    </row>
    <row r="21" spans="1:9" s="3" customFormat="1" ht="12.75">
      <c r="A21" s="14">
        <v>15</v>
      </c>
      <c r="B21" s="4" t="s">
        <v>67</v>
      </c>
      <c r="C21" s="67">
        <f>'Непосред.связ. с мун.ус.2020-21'!O19</f>
        <v>39537.413261369475</v>
      </c>
      <c r="D21" s="67">
        <f>'Общехозяйств. расходы 2020-21'!R19</f>
        <v>19442.485455599064</v>
      </c>
      <c r="E21" s="24">
        <f t="shared" si="1"/>
        <v>58979.89871696854</v>
      </c>
      <c r="F21" s="43">
        <v>1</v>
      </c>
      <c r="G21" s="68">
        <f t="shared" si="2"/>
        <v>0.999999978246293</v>
      </c>
      <c r="H21" s="43"/>
      <c r="I21" s="78"/>
    </row>
    <row r="22" spans="1:9" s="62" customFormat="1" ht="12.75">
      <c r="A22" s="60"/>
      <c r="B22" s="83" t="s">
        <v>63</v>
      </c>
      <c r="C22" s="84"/>
      <c r="D22" s="84"/>
      <c r="E22" s="84"/>
      <c r="F22" s="84"/>
      <c r="G22" s="84"/>
      <c r="H22" s="85"/>
      <c r="I22" s="61"/>
    </row>
    <row r="23" spans="1:8" ht="12.75">
      <c r="A23" s="2">
        <v>1</v>
      </c>
      <c r="B23" s="2" t="s">
        <v>25</v>
      </c>
      <c r="C23" s="23">
        <f>'Непосред.связ. с мун.ус.2020-21'!O20</f>
        <v>36432.77040914604</v>
      </c>
      <c r="D23" s="23">
        <f>'Общехозяйств. расходы 2020-21'!R20</f>
        <v>32221.926028063255</v>
      </c>
      <c r="E23" s="24">
        <f t="shared" si="1"/>
        <v>68654.69643720929</v>
      </c>
      <c r="F23" s="42">
        <v>1</v>
      </c>
      <c r="G23" s="56">
        <f>E23/70149.3</f>
        <v>0.9786939632641992</v>
      </c>
      <c r="H23" s="42"/>
    </row>
    <row r="24" spans="1:8" ht="12.75">
      <c r="A24" s="2">
        <f>SUM(A23+1)</f>
        <v>2</v>
      </c>
      <c r="B24" s="2" t="s">
        <v>26</v>
      </c>
      <c r="C24" s="23">
        <f>'Непосред.связ. с мун.ус.2020-21'!O21</f>
        <v>30803.614125199994</v>
      </c>
      <c r="D24" s="23">
        <f>'Общехозяйств. расходы 2020-21'!R21</f>
        <v>31848.362019129898</v>
      </c>
      <c r="E24" s="24">
        <f t="shared" si="1"/>
        <v>62651.97614432989</v>
      </c>
      <c r="F24" s="42">
        <v>1</v>
      </c>
      <c r="G24" s="56">
        <f aca="true" t="shared" si="3" ref="G24:G29">E24/70149.3</f>
        <v>0.8931233261676153</v>
      </c>
      <c r="H24" s="42"/>
    </row>
    <row r="25" spans="1:8" ht="12.75">
      <c r="A25" s="2">
        <f>SUM(A24+1)</f>
        <v>3</v>
      </c>
      <c r="B25" s="2" t="s">
        <v>27</v>
      </c>
      <c r="C25" s="23">
        <f>'Непосред.связ. с мун.ус.2020-21'!O22</f>
        <v>27828.6582684054</v>
      </c>
      <c r="D25" s="23">
        <f>'Общехозяйств. расходы 2020-21'!R22</f>
        <v>36973.146907270275</v>
      </c>
      <c r="E25" s="24">
        <f t="shared" si="1"/>
        <v>64801.805175675676</v>
      </c>
      <c r="F25" s="42">
        <v>1</v>
      </c>
      <c r="G25" s="56">
        <f t="shared" si="3"/>
        <v>0.9237698049114628</v>
      </c>
      <c r="H25" s="42"/>
    </row>
    <row r="26" spans="1:8" ht="12.75">
      <c r="A26" s="2">
        <f>SUM(A25+1)</f>
        <v>4</v>
      </c>
      <c r="B26" s="2" t="s">
        <v>40</v>
      </c>
      <c r="C26" s="23">
        <f>'Непосред.связ. с мун.ус.2020-21'!O23</f>
        <v>48605.665721883866</v>
      </c>
      <c r="D26" s="23">
        <f>'Общехозяйств. расходы 2020-21'!R23</f>
        <v>52484.277245858066</v>
      </c>
      <c r="E26" s="24">
        <f t="shared" si="1"/>
        <v>101089.94296774192</v>
      </c>
      <c r="F26" s="42">
        <v>1</v>
      </c>
      <c r="G26" s="56">
        <f t="shared" si="3"/>
        <v>1.441068449260961</v>
      </c>
      <c r="H26" s="42"/>
    </row>
    <row r="27" spans="1:8" ht="12.75">
      <c r="A27" s="2">
        <f>SUM(A26+1)</f>
        <v>5</v>
      </c>
      <c r="B27" s="2" t="s">
        <v>42</v>
      </c>
      <c r="C27" s="23">
        <f>'Непосред.связ. с мун.ус.2020-21'!O24</f>
        <v>32626.118145491997</v>
      </c>
      <c r="D27" s="23">
        <f>'Общехозяйств. расходы 2020-21'!R24</f>
        <v>35586.727154</v>
      </c>
      <c r="E27" s="24">
        <f t="shared" si="1"/>
        <v>68212.845299492</v>
      </c>
      <c r="F27" s="42">
        <v>1</v>
      </c>
      <c r="G27" s="56">
        <f t="shared" si="3"/>
        <v>0.9723952384341966</v>
      </c>
      <c r="H27" s="42"/>
    </row>
    <row r="28" spans="1:8" ht="12.75">
      <c r="A28" s="2">
        <f>SUM(A27+1)</f>
        <v>6</v>
      </c>
      <c r="B28" s="2" t="s">
        <v>32</v>
      </c>
      <c r="C28" s="23">
        <f>'Непосред.связ. с мун.ус.2020-21'!O25</f>
        <v>33515.00850111111</v>
      </c>
      <c r="D28" s="23">
        <f>'Общехозяйств. расходы 2020-21'!R25</f>
        <v>38774.79638777778</v>
      </c>
      <c r="E28" s="24">
        <f t="shared" si="1"/>
        <v>72289.80488888889</v>
      </c>
      <c r="F28" s="42">
        <v>1</v>
      </c>
      <c r="G28" s="56">
        <f t="shared" si="3"/>
        <v>1.030513560205004</v>
      </c>
      <c r="H28" s="42"/>
    </row>
    <row r="29" spans="1:8" s="3" customFormat="1" ht="12.75">
      <c r="A29" s="14">
        <v>6</v>
      </c>
      <c r="B29" s="4" t="s">
        <v>68</v>
      </c>
      <c r="C29" s="67">
        <f>'Непосред.связ. с мун.ус.2020-21'!O26</f>
        <v>34062.843170714215</v>
      </c>
      <c r="D29" s="67">
        <f>'Общехозяйств. расходы 2020-21'!R26</f>
        <v>36086.4536734149</v>
      </c>
      <c r="E29" s="24">
        <f t="shared" si="1"/>
        <v>70149.29684412912</v>
      </c>
      <c r="F29" s="43">
        <v>1</v>
      </c>
      <c r="G29" s="68">
        <f t="shared" si="3"/>
        <v>0.9999999550120829</v>
      </c>
      <c r="H29" s="43"/>
    </row>
    <row r="30" spans="1:8" s="62" customFormat="1" ht="12.75">
      <c r="A30" s="60"/>
      <c r="B30" s="83" t="s">
        <v>64</v>
      </c>
      <c r="C30" s="84"/>
      <c r="D30" s="84"/>
      <c r="E30" s="84"/>
      <c r="F30" s="84"/>
      <c r="G30" s="84"/>
      <c r="H30" s="85"/>
    </row>
    <row r="31" spans="1:8" ht="12.75">
      <c r="A31" s="2">
        <v>1</v>
      </c>
      <c r="B31" s="39" t="s">
        <v>35</v>
      </c>
      <c r="C31" s="23">
        <f>'Непосред.связ. с мун.ус.2020-21'!O27</f>
        <v>2216.5511398026315</v>
      </c>
      <c r="D31" s="23">
        <f>'Общехозяйств. расходы 2020-21'!R27</f>
        <v>901.9843125000001</v>
      </c>
      <c r="E31" s="24">
        <f t="shared" si="1"/>
        <v>3118.5354523026317</v>
      </c>
      <c r="F31" s="42">
        <v>1</v>
      </c>
      <c r="G31" s="56">
        <f>E31/9898.06</f>
        <v>0.31506532111369623</v>
      </c>
      <c r="H31" s="42"/>
    </row>
    <row r="32" spans="1:8" ht="12.75">
      <c r="A32" s="2">
        <v>2</v>
      </c>
      <c r="B32" s="41" t="s">
        <v>38</v>
      </c>
      <c r="C32" s="23">
        <f>'Непосред.связ. с мун.ус.2020-21'!O28</f>
        <v>5122.533737444934</v>
      </c>
      <c r="D32" s="23">
        <f>'Общехозяйств. расходы 2020-21'!R28</f>
        <v>7785.95291629956</v>
      </c>
      <c r="E32" s="24">
        <f t="shared" si="1"/>
        <v>12908.486653744494</v>
      </c>
      <c r="F32" s="42">
        <v>1</v>
      </c>
      <c r="G32" s="56">
        <f>E32/9898.06</f>
        <v>1.3041431001372485</v>
      </c>
      <c r="H32" s="42"/>
    </row>
    <row r="33" spans="1:8" ht="12.75">
      <c r="A33" s="2">
        <v>3</v>
      </c>
      <c r="B33" s="40" t="s">
        <v>39</v>
      </c>
      <c r="C33" s="23">
        <f>'Непосред.связ. с мун.ус.2020-21'!O29</f>
        <v>18237.46472324723</v>
      </c>
      <c r="D33" s="23">
        <f>'Общехозяйств. расходы 2020-21'!R29</f>
        <v>9472.634686346864</v>
      </c>
      <c r="E33" s="24">
        <f t="shared" si="1"/>
        <v>27710.099409594095</v>
      </c>
      <c r="F33" s="42">
        <v>1</v>
      </c>
      <c r="G33" s="56">
        <f>E33/9898.06</f>
        <v>2.7995485387635655</v>
      </c>
      <c r="H33" s="42"/>
    </row>
    <row r="34" spans="1:8" s="3" customFormat="1" ht="12.75">
      <c r="A34" s="14">
        <v>3</v>
      </c>
      <c r="B34" s="4" t="s">
        <v>68</v>
      </c>
      <c r="C34" s="67">
        <f>'Непосред.связ. с мун.ус.2020-21'!O30</f>
        <v>5130.341311212815</v>
      </c>
      <c r="D34" s="67">
        <f>'Общехозяйств. расходы 2020-21'!R30</f>
        <v>4767.716813119756</v>
      </c>
      <c r="E34" s="24">
        <f t="shared" si="1"/>
        <v>9898.05812433257</v>
      </c>
      <c r="F34" s="43">
        <v>1</v>
      </c>
      <c r="G34" s="68">
        <f>E34/9898.06</f>
        <v>0.9999998105015095</v>
      </c>
      <c r="H34" s="25"/>
    </row>
    <row r="35" spans="2:6" ht="12.75">
      <c r="B35" s="11"/>
      <c r="C35" s="35"/>
      <c r="D35" s="35"/>
      <c r="E35" s="35"/>
      <c r="F35" s="35"/>
    </row>
    <row r="36" spans="2:6" ht="13.5">
      <c r="B36" s="59" t="s">
        <v>135</v>
      </c>
      <c r="C36" s="9"/>
      <c r="F36" s="6"/>
    </row>
    <row r="37" spans="2:3" ht="13.5">
      <c r="B37" s="59"/>
      <c r="C37" s="9"/>
    </row>
    <row r="38" spans="2:4" s="76" customFormat="1" ht="13.5">
      <c r="B38" s="59" t="s">
        <v>141</v>
      </c>
      <c r="C38" s="77"/>
      <c r="D38" s="77"/>
    </row>
    <row r="39" spans="2:5" ht="17.25" customHeight="1">
      <c r="B39" s="65" t="s">
        <v>82</v>
      </c>
      <c r="C39" s="66"/>
      <c r="D39" s="69"/>
      <c r="E39" s="69" t="s">
        <v>136</v>
      </c>
    </row>
    <row r="40" spans="2:5" ht="12.75">
      <c r="B40" s="65" t="s">
        <v>83</v>
      </c>
      <c r="C40" s="66"/>
      <c r="D40" s="62"/>
      <c r="E40" s="69" t="s">
        <v>137</v>
      </c>
    </row>
    <row r="41" spans="2:4" s="76" customFormat="1" ht="25.5" customHeight="1">
      <c r="B41" s="59" t="s">
        <v>142</v>
      </c>
      <c r="C41" s="77"/>
      <c r="D41" s="77"/>
    </row>
    <row r="42" spans="2:5" ht="15.75" customHeight="1">
      <c r="B42" s="65" t="s">
        <v>82</v>
      </c>
      <c r="C42" s="66"/>
      <c r="D42" s="69"/>
      <c r="E42" s="69" t="s">
        <v>138</v>
      </c>
    </row>
    <row r="43" spans="2:5" ht="12.75">
      <c r="B43" s="65" t="s">
        <v>83</v>
      </c>
      <c r="C43" s="66"/>
      <c r="D43" s="62"/>
      <c r="E43" s="69" t="s">
        <v>139</v>
      </c>
    </row>
    <row r="44" spans="2:4" s="76" customFormat="1" ht="28.5" customHeight="1">
      <c r="B44" s="75" t="s">
        <v>143</v>
      </c>
      <c r="C44" s="77"/>
      <c r="D44" s="77"/>
    </row>
    <row r="45" spans="2:5" ht="16.5" customHeight="1">
      <c r="B45" s="65" t="s">
        <v>82</v>
      </c>
      <c r="C45" s="66"/>
      <c r="D45" s="69"/>
      <c r="E45" s="69" t="s">
        <v>127</v>
      </c>
    </row>
    <row r="46" spans="2:5" ht="12.75">
      <c r="B46" s="65" t="s">
        <v>83</v>
      </c>
      <c r="C46" s="66"/>
      <c r="D46" s="62"/>
      <c r="E46" s="69" t="s">
        <v>140</v>
      </c>
    </row>
  </sheetData>
  <sheetProtection/>
  <mergeCells count="4">
    <mergeCell ref="B2:F2"/>
    <mergeCell ref="B5:H5"/>
    <mergeCell ref="B22:H22"/>
    <mergeCell ref="B30:H30"/>
  </mergeCells>
  <printOptions/>
  <pageMargins left="0.2" right="0.2" top="0.52" bottom="0.49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6" sqref="O26"/>
    </sheetView>
  </sheetViews>
  <sheetFormatPr defaultColWidth="9.00390625" defaultRowHeight="12.75"/>
  <cols>
    <col min="1" max="1" width="3.50390625" style="0" customWidth="1"/>
    <col min="2" max="2" width="27.00390625" style="0" customWidth="1"/>
    <col min="3" max="3" width="10.50390625" style="0" customWidth="1"/>
    <col min="4" max="5" width="9.375" style="0" customWidth="1"/>
    <col min="6" max="6" width="9.50390625" style="0" customWidth="1"/>
    <col min="7" max="7" width="10.125" style="0" customWidth="1"/>
    <col min="8" max="8" width="8.875" style="0" customWidth="1"/>
    <col min="9" max="9" width="8.375" style="0" customWidth="1"/>
    <col min="10" max="10" width="7.375" style="0" customWidth="1"/>
    <col min="11" max="11" width="10.875" style="0" customWidth="1"/>
    <col min="12" max="14" width="9.375" style="0" customWidth="1"/>
    <col min="15" max="15" width="15.375" style="0" customWidth="1"/>
    <col min="16" max="16" width="7.875" style="0" customWidth="1"/>
    <col min="17" max="17" width="6.50390625" style="0" customWidth="1"/>
    <col min="18" max="18" width="7.375" style="0" customWidth="1"/>
    <col min="19" max="19" width="6.50390625" style="0" customWidth="1"/>
    <col min="20" max="21" width="7.50390625" style="0" customWidth="1"/>
    <col min="22" max="22" width="8.50390625" style="0" customWidth="1"/>
    <col min="23" max="23" width="8.125" style="0" customWidth="1"/>
    <col min="24" max="24" width="8.50390625" style="0" customWidth="1"/>
    <col min="26" max="26" width="5.625" style="0" customWidth="1"/>
    <col min="27" max="27" width="6.875" style="0" customWidth="1"/>
    <col min="28" max="28" width="5.375" style="0" customWidth="1"/>
    <col min="29" max="29" width="3.00390625" style="0" customWidth="1"/>
    <col min="30" max="30" width="2.875" style="0" customWidth="1"/>
    <col min="31" max="31" width="2.625" style="0" customWidth="1"/>
    <col min="32" max="32" width="7.625" style="0" customWidth="1"/>
  </cols>
  <sheetData>
    <row r="1" spans="2:3" ht="12.75">
      <c r="B1" s="15"/>
      <c r="C1" s="3" t="s">
        <v>96</v>
      </c>
    </row>
    <row r="2" spans="2:3" ht="12.75">
      <c r="B2" s="3"/>
      <c r="C2" s="3"/>
    </row>
    <row r="3" spans="1:15" ht="78" customHeight="1">
      <c r="A3" s="1"/>
      <c r="B3" s="13" t="s">
        <v>0</v>
      </c>
      <c r="C3" s="7" t="s">
        <v>69</v>
      </c>
      <c r="D3" s="7" t="s">
        <v>70</v>
      </c>
      <c r="E3" s="7" t="s">
        <v>71</v>
      </c>
      <c r="F3" s="7" t="s">
        <v>72</v>
      </c>
      <c r="G3" s="7" t="s">
        <v>107</v>
      </c>
      <c r="H3" s="7" t="s">
        <v>110</v>
      </c>
      <c r="I3" s="7" t="s">
        <v>73</v>
      </c>
      <c r="J3" s="7" t="s">
        <v>108</v>
      </c>
      <c r="K3" s="36" t="s">
        <v>2</v>
      </c>
      <c r="L3" s="7" t="s">
        <v>58</v>
      </c>
      <c r="M3" s="7" t="s">
        <v>60</v>
      </c>
      <c r="N3" s="7" t="s">
        <v>59</v>
      </c>
      <c r="O3" s="57" t="s">
        <v>97</v>
      </c>
    </row>
    <row r="4" spans="1:15" ht="12.75">
      <c r="A4" s="2">
        <v>1</v>
      </c>
      <c r="B4" s="2" t="s">
        <v>7</v>
      </c>
      <c r="C4" s="45">
        <f>'Заработная плата 2020-21'!J6</f>
        <v>2943041.5664</v>
      </c>
      <c r="D4" s="45">
        <f>'Заработная плата 2020-21'!K6</f>
        <v>888798.5530527999</v>
      </c>
      <c r="E4" s="45">
        <f>C4+D4</f>
        <v>3831840.1194527997</v>
      </c>
      <c r="F4" s="16">
        <v>22173</v>
      </c>
      <c r="G4" s="27">
        <v>1000</v>
      </c>
      <c r="H4" s="27">
        <v>2000</v>
      </c>
      <c r="I4" s="16">
        <v>10000</v>
      </c>
      <c r="J4" s="16">
        <v>5160</v>
      </c>
      <c r="K4" s="34">
        <f>SUM(E4:J4)</f>
        <v>3872173.1194527997</v>
      </c>
      <c r="L4" s="16">
        <v>36</v>
      </c>
      <c r="M4" s="16">
        <v>22</v>
      </c>
      <c r="N4" s="16">
        <f>L4+M4</f>
        <v>58</v>
      </c>
      <c r="O4" s="37">
        <f>K4/N4</f>
        <v>66761.60550780689</v>
      </c>
    </row>
    <row r="5" spans="1:15" ht="12.75">
      <c r="A5" s="2">
        <f aca="true" t="shared" si="0" ref="A5:A18">SUM(A4+1)</f>
        <v>2</v>
      </c>
      <c r="B5" s="5" t="s">
        <v>8</v>
      </c>
      <c r="C5" s="45">
        <f>'Заработная плата 2020-21'!J7</f>
        <v>3174850.2188</v>
      </c>
      <c r="D5" s="45">
        <f>'Заработная плата 2020-21'!K7</f>
        <v>958804.7660776</v>
      </c>
      <c r="E5" s="45">
        <f aca="true" t="shared" si="1" ref="E5:E29">C5+D5</f>
        <v>4133654.9848776</v>
      </c>
      <c r="F5" s="16">
        <v>9501</v>
      </c>
      <c r="G5" s="27">
        <v>1000</v>
      </c>
      <c r="H5" s="27">
        <v>10000</v>
      </c>
      <c r="I5" s="16">
        <v>15000</v>
      </c>
      <c r="J5" s="16">
        <v>7982</v>
      </c>
      <c r="K5" s="34">
        <f aca="true" t="shared" si="2" ref="K5:K18">SUM(E5:J5)</f>
        <v>4177137.9848776</v>
      </c>
      <c r="L5" s="16">
        <v>70</v>
      </c>
      <c r="M5" s="16">
        <v>0</v>
      </c>
      <c r="N5" s="16">
        <f aca="true" t="shared" si="3" ref="N5:N18">L5+M5</f>
        <v>70</v>
      </c>
      <c r="O5" s="37">
        <f aca="true" t="shared" si="4" ref="O5:O30">K5/N5</f>
        <v>59673.39978396571</v>
      </c>
    </row>
    <row r="6" spans="1:15" ht="12.75">
      <c r="A6" s="2">
        <f t="shared" si="0"/>
        <v>3</v>
      </c>
      <c r="B6" s="5" t="s">
        <v>9</v>
      </c>
      <c r="C6" s="45">
        <f>'Заработная плата 2020-21'!J8</f>
        <v>3575122.2416</v>
      </c>
      <c r="D6" s="45">
        <f>'Заработная плата 2020-21'!K8</f>
        <v>1079686.9169631999</v>
      </c>
      <c r="E6" s="45">
        <f t="shared" si="1"/>
        <v>4654809.158563199</v>
      </c>
      <c r="F6" s="16">
        <v>24394</v>
      </c>
      <c r="G6" s="27">
        <v>1000</v>
      </c>
      <c r="H6" s="27">
        <v>3700</v>
      </c>
      <c r="I6" s="16">
        <v>35000</v>
      </c>
      <c r="J6" s="16">
        <v>9025</v>
      </c>
      <c r="K6" s="34">
        <f t="shared" si="2"/>
        <v>4727928.158563199</v>
      </c>
      <c r="L6" s="16">
        <v>73</v>
      </c>
      <c r="M6" s="16">
        <v>34</v>
      </c>
      <c r="N6" s="16">
        <f t="shared" si="3"/>
        <v>107</v>
      </c>
      <c r="O6" s="37">
        <f t="shared" si="4"/>
        <v>44186.24447255326</v>
      </c>
    </row>
    <row r="7" spans="1:15" ht="12.75">
      <c r="A7" s="2">
        <f t="shared" si="0"/>
        <v>4</v>
      </c>
      <c r="B7" s="5" t="s">
        <v>10</v>
      </c>
      <c r="C7" s="45">
        <f>'Заработная плата 2020-21'!J9</f>
        <v>4278609.2908</v>
      </c>
      <c r="D7" s="45">
        <f>'Заработная плата 2020-21'!K9</f>
        <v>1292140.0058215999</v>
      </c>
      <c r="E7" s="45">
        <f t="shared" si="1"/>
        <v>5570749.296621599</v>
      </c>
      <c r="F7" s="16">
        <v>11624</v>
      </c>
      <c r="G7" s="27">
        <v>1500</v>
      </c>
      <c r="H7" s="27">
        <v>2300</v>
      </c>
      <c r="I7" s="16">
        <v>40000</v>
      </c>
      <c r="J7" s="16">
        <v>10871</v>
      </c>
      <c r="K7" s="34">
        <f t="shared" si="2"/>
        <v>5637044.296621599</v>
      </c>
      <c r="L7" s="16">
        <v>87</v>
      </c>
      <c r="M7" s="16">
        <v>15</v>
      </c>
      <c r="N7" s="16">
        <f t="shared" si="3"/>
        <v>102</v>
      </c>
      <c r="O7" s="37">
        <f t="shared" si="4"/>
        <v>55265.14016295686</v>
      </c>
    </row>
    <row r="8" spans="1:15" ht="12.75">
      <c r="A8" s="2">
        <f t="shared" si="0"/>
        <v>5</v>
      </c>
      <c r="B8" s="5" t="s">
        <v>12</v>
      </c>
      <c r="C8" s="45">
        <f>'Заработная плата 2020-21'!J10</f>
        <v>3754056.7531999997</v>
      </c>
      <c r="D8" s="45">
        <f>'Заработная плата 2020-21'!K10</f>
        <v>1133725.1394663998</v>
      </c>
      <c r="E8" s="45">
        <f t="shared" si="1"/>
        <v>4887781.8926663995</v>
      </c>
      <c r="F8" s="16">
        <v>13500</v>
      </c>
      <c r="G8" s="27">
        <v>1250</v>
      </c>
      <c r="H8" s="27">
        <v>10000</v>
      </c>
      <c r="I8" s="16">
        <v>20000</v>
      </c>
      <c r="J8" s="16">
        <v>6015</v>
      </c>
      <c r="K8" s="34">
        <f t="shared" si="2"/>
        <v>4938546.8926663995</v>
      </c>
      <c r="L8" s="16">
        <v>62</v>
      </c>
      <c r="M8" s="16">
        <v>15</v>
      </c>
      <c r="N8" s="16">
        <f t="shared" si="3"/>
        <v>77</v>
      </c>
      <c r="O8" s="37">
        <f t="shared" si="4"/>
        <v>64136.97263203116</v>
      </c>
    </row>
    <row r="9" spans="1:15" ht="12.75">
      <c r="A9" s="2">
        <f t="shared" si="0"/>
        <v>6</v>
      </c>
      <c r="B9" s="5" t="s">
        <v>14</v>
      </c>
      <c r="C9" s="45">
        <f>'Заработная плата 2020-21'!J11</f>
        <v>6003662.282799999</v>
      </c>
      <c r="D9" s="45">
        <f>'Заработная плата 2020-21'!K11</f>
        <v>1813106.0094055997</v>
      </c>
      <c r="E9" s="45">
        <f t="shared" si="1"/>
        <v>7816768.292205599</v>
      </c>
      <c r="F9" s="16">
        <v>15660</v>
      </c>
      <c r="G9" s="27">
        <v>2000</v>
      </c>
      <c r="H9" s="27">
        <v>7000</v>
      </c>
      <c r="I9" s="16">
        <v>70000</v>
      </c>
      <c r="J9" s="16">
        <v>4191</v>
      </c>
      <c r="K9" s="34">
        <f t="shared" si="2"/>
        <v>7915619.292205599</v>
      </c>
      <c r="L9" s="16">
        <v>121</v>
      </c>
      <c r="M9" s="16">
        <v>29</v>
      </c>
      <c r="N9" s="16">
        <f t="shared" si="3"/>
        <v>150</v>
      </c>
      <c r="O9" s="37">
        <f t="shared" si="4"/>
        <v>52770.79528137066</v>
      </c>
    </row>
    <row r="10" spans="1:15" ht="12.75">
      <c r="A10" s="2">
        <f t="shared" si="0"/>
        <v>7</v>
      </c>
      <c r="B10" s="5" t="s">
        <v>15</v>
      </c>
      <c r="C10" s="45">
        <f>'Заработная плата 2020-21'!J12</f>
        <v>6373572.2388</v>
      </c>
      <c r="D10" s="45">
        <f>'Заработная плата 2020-21'!K12</f>
        <v>1924818.8161176</v>
      </c>
      <c r="E10" s="45">
        <f t="shared" si="1"/>
        <v>8298391.0549176</v>
      </c>
      <c r="F10" s="16">
        <v>11894</v>
      </c>
      <c r="G10" s="27">
        <v>2000</v>
      </c>
      <c r="H10" s="27">
        <v>10000</v>
      </c>
      <c r="I10" s="16">
        <v>90000</v>
      </c>
      <c r="J10" s="16">
        <v>13209</v>
      </c>
      <c r="K10" s="34">
        <f t="shared" si="2"/>
        <v>8425494.0549176</v>
      </c>
      <c r="L10" s="16">
        <v>177</v>
      </c>
      <c r="M10" s="16">
        <v>21</v>
      </c>
      <c r="N10" s="16">
        <f t="shared" si="3"/>
        <v>198</v>
      </c>
      <c r="O10" s="37">
        <f t="shared" si="4"/>
        <v>42553.000277361614</v>
      </c>
    </row>
    <row r="11" spans="1:15" ht="12.75">
      <c r="A11" s="2">
        <f t="shared" si="0"/>
        <v>8</v>
      </c>
      <c r="B11" s="5" t="s">
        <v>17</v>
      </c>
      <c r="C11" s="45">
        <f>'Заработная плата 2020-21'!J13</f>
        <v>3388440.1824</v>
      </c>
      <c r="D11" s="45">
        <f>'Заработная плата 2020-21'!K13</f>
        <v>1023308.9350847999</v>
      </c>
      <c r="E11" s="45">
        <f t="shared" si="1"/>
        <v>4411749.1174848</v>
      </c>
      <c r="F11" s="16">
        <v>12000</v>
      </c>
      <c r="G11" s="27">
        <v>1000</v>
      </c>
      <c r="H11" s="27">
        <v>3000</v>
      </c>
      <c r="I11" s="16">
        <v>38000</v>
      </c>
      <c r="J11" s="16">
        <v>5198</v>
      </c>
      <c r="K11" s="34">
        <f t="shared" si="2"/>
        <v>4470947.1174848</v>
      </c>
      <c r="L11" s="16">
        <v>69</v>
      </c>
      <c r="M11" s="16">
        <v>20</v>
      </c>
      <c r="N11" s="16">
        <f t="shared" si="3"/>
        <v>89</v>
      </c>
      <c r="O11" s="37">
        <f t="shared" si="4"/>
        <v>50235.360870615725</v>
      </c>
    </row>
    <row r="12" spans="1:15" ht="12.75">
      <c r="A12" s="2">
        <f t="shared" si="0"/>
        <v>9</v>
      </c>
      <c r="B12" s="5" t="s">
        <v>18</v>
      </c>
      <c r="C12" s="45">
        <f>'Заработная плата 2020-21'!J14</f>
        <v>7086795.7212</v>
      </c>
      <c r="D12" s="45">
        <f>'Заработная плата 2020-21'!K14</f>
        <v>2140212.3078023996</v>
      </c>
      <c r="E12" s="45">
        <f t="shared" si="1"/>
        <v>9227008.029002398</v>
      </c>
      <c r="F12" s="16">
        <v>30900</v>
      </c>
      <c r="G12" s="27">
        <v>2000</v>
      </c>
      <c r="H12" s="27">
        <v>7000</v>
      </c>
      <c r="I12" s="16">
        <v>55000</v>
      </c>
      <c r="J12" s="16">
        <v>12971</v>
      </c>
      <c r="K12" s="34">
        <f t="shared" si="2"/>
        <v>9334879.029002398</v>
      </c>
      <c r="L12" s="16">
        <v>125</v>
      </c>
      <c r="M12" s="16">
        <v>37</v>
      </c>
      <c r="N12" s="16">
        <f t="shared" si="3"/>
        <v>162</v>
      </c>
      <c r="O12" s="37">
        <f t="shared" si="4"/>
        <v>57622.71005557036</v>
      </c>
    </row>
    <row r="13" spans="1:15" ht="12.75">
      <c r="A13" s="2">
        <f t="shared" si="0"/>
        <v>10</v>
      </c>
      <c r="B13" s="5" t="s">
        <v>19</v>
      </c>
      <c r="C13" s="45">
        <f>'Заработная плата 2020-21'!J15</f>
        <v>5188355.7804</v>
      </c>
      <c r="D13" s="45">
        <f>'Заработная плата 2020-21'!K15</f>
        <v>1566883.4456808</v>
      </c>
      <c r="E13" s="45">
        <f t="shared" si="1"/>
        <v>6755239.2260807995</v>
      </c>
      <c r="F13" s="16">
        <v>22000</v>
      </c>
      <c r="G13" s="27">
        <v>1000</v>
      </c>
      <c r="H13" s="27">
        <v>15000</v>
      </c>
      <c r="I13" s="16">
        <v>45000</v>
      </c>
      <c r="J13" s="16">
        <v>6959</v>
      </c>
      <c r="K13" s="34">
        <f t="shared" si="2"/>
        <v>6845198.2260807995</v>
      </c>
      <c r="L13" s="16">
        <v>108</v>
      </c>
      <c r="M13" s="16">
        <v>28</v>
      </c>
      <c r="N13" s="16">
        <f t="shared" si="3"/>
        <v>136</v>
      </c>
      <c r="O13" s="37">
        <f t="shared" si="4"/>
        <v>50332.339897652935</v>
      </c>
    </row>
    <row r="14" spans="1:15" ht="12.75">
      <c r="A14" s="2">
        <f t="shared" si="0"/>
        <v>11</v>
      </c>
      <c r="B14" s="5" t="s">
        <v>20</v>
      </c>
      <c r="C14" s="45">
        <f>'Заработная плата 2020-21'!J16</f>
        <v>3300894.0327999997</v>
      </c>
      <c r="D14" s="45">
        <f>'Заработная плата 2020-21'!K16</f>
        <v>996869.9979055999</v>
      </c>
      <c r="E14" s="45">
        <f t="shared" si="1"/>
        <v>4297764.030705599</v>
      </c>
      <c r="F14" s="16">
        <v>12500</v>
      </c>
      <c r="G14" s="27">
        <v>1000</v>
      </c>
      <c r="H14" s="27">
        <v>3000</v>
      </c>
      <c r="I14" s="16">
        <v>15000</v>
      </c>
      <c r="J14" s="16">
        <v>5830</v>
      </c>
      <c r="K14" s="34">
        <f t="shared" si="2"/>
        <v>4335094.030705599</v>
      </c>
      <c r="L14" s="16">
        <v>43</v>
      </c>
      <c r="M14" s="16">
        <v>13</v>
      </c>
      <c r="N14" s="16">
        <f t="shared" si="3"/>
        <v>56</v>
      </c>
      <c r="O14" s="37">
        <f t="shared" si="4"/>
        <v>77412.39340545713</v>
      </c>
    </row>
    <row r="15" spans="1:15" ht="12.75">
      <c r="A15" s="2">
        <f t="shared" si="0"/>
        <v>12</v>
      </c>
      <c r="B15" s="2" t="s">
        <v>21</v>
      </c>
      <c r="C15" s="45">
        <f>'Заработная плата 2020-21'!J17</f>
        <v>8578053.2448</v>
      </c>
      <c r="D15" s="45">
        <f>'Заработная плата 2020-21'!K17</f>
        <v>2590572.0799296</v>
      </c>
      <c r="E15" s="45">
        <f t="shared" si="1"/>
        <v>11168625.324729599</v>
      </c>
      <c r="F15" s="16">
        <v>25002</v>
      </c>
      <c r="G15" s="27">
        <v>2000</v>
      </c>
      <c r="H15" s="27">
        <v>15000</v>
      </c>
      <c r="I15" s="16">
        <v>82940</v>
      </c>
      <c r="J15" s="16">
        <v>13000</v>
      </c>
      <c r="K15" s="34">
        <f t="shared" si="2"/>
        <v>11306567.324729599</v>
      </c>
      <c r="L15" s="16">
        <v>155</v>
      </c>
      <c r="M15" s="16">
        <v>51</v>
      </c>
      <c r="N15" s="16">
        <f t="shared" si="3"/>
        <v>206</v>
      </c>
      <c r="O15" s="37">
        <f t="shared" si="4"/>
        <v>54886.249149172814</v>
      </c>
    </row>
    <row r="16" spans="1:15" ht="12.75">
      <c r="A16" s="2">
        <f t="shared" si="0"/>
        <v>13</v>
      </c>
      <c r="B16" s="2" t="s">
        <v>22</v>
      </c>
      <c r="C16" s="45">
        <f>'Заработная плата 2020-21'!J18</f>
        <v>6674797.344799999</v>
      </c>
      <c r="D16" s="45">
        <f>'Заработная плата 2020-21'!K18</f>
        <v>2015788.7981295998</v>
      </c>
      <c r="E16" s="45">
        <f t="shared" si="1"/>
        <v>8690586.142929599</v>
      </c>
      <c r="F16" s="16">
        <v>19000</v>
      </c>
      <c r="G16" s="27">
        <v>2000</v>
      </c>
      <c r="H16" s="27">
        <v>20000</v>
      </c>
      <c r="I16" s="16">
        <v>130000</v>
      </c>
      <c r="J16" s="16">
        <v>12248</v>
      </c>
      <c r="K16" s="34">
        <f t="shared" si="2"/>
        <v>8873834.142929599</v>
      </c>
      <c r="L16" s="16">
        <v>265</v>
      </c>
      <c r="M16" s="16">
        <v>0</v>
      </c>
      <c r="N16" s="16">
        <f t="shared" si="3"/>
        <v>265</v>
      </c>
      <c r="O16" s="37">
        <f t="shared" si="4"/>
        <v>33486.16657709282</v>
      </c>
    </row>
    <row r="17" spans="1:15" ht="12.75">
      <c r="A17" s="2">
        <f t="shared" si="0"/>
        <v>14</v>
      </c>
      <c r="B17" s="2" t="s">
        <v>23</v>
      </c>
      <c r="C17" s="45">
        <f>'Заработная плата 2020-21'!J19</f>
        <v>17561614.600399997</v>
      </c>
      <c r="D17" s="45">
        <f>'Заработная плата 2020-21'!K19</f>
        <v>5303607.609320799</v>
      </c>
      <c r="E17" s="45">
        <f t="shared" si="1"/>
        <v>22865222.209720798</v>
      </c>
      <c r="F17" s="16">
        <v>58000</v>
      </c>
      <c r="G17" s="27">
        <v>10000</v>
      </c>
      <c r="H17" s="27">
        <v>100000</v>
      </c>
      <c r="I17" s="16">
        <v>350000</v>
      </c>
      <c r="J17" s="16">
        <v>118088</v>
      </c>
      <c r="K17" s="34">
        <f t="shared" si="2"/>
        <v>23501310.209720798</v>
      </c>
      <c r="L17" s="16">
        <v>1024</v>
      </c>
      <c r="M17" s="16">
        <v>0</v>
      </c>
      <c r="N17" s="16">
        <f t="shared" si="3"/>
        <v>1024</v>
      </c>
      <c r="O17" s="37">
        <f t="shared" si="4"/>
        <v>22950.498251680467</v>
      </c>
    </row>
    <row r="18" spans="1:15" ht="12.75">
      <c r="A18" s="2">
        <f t="shared" si="0"/>
        <v>15</v>
      </c>
      <c r="B18" s="2" t="s">
        <v>24</v>
      </c>
      <c r="C18" s="45">
        <f>'Заработная плата 2020-21'!J20</f>
        <v>7594595.8816</v>
      </c>
      <c r="D18" s="45">
        <f>'Заработная плата 2020-21'!K20</f>
        <v>2293567.9562431998</v>
      </c>
      <c r="E18" s="45">
        <f t="shared" si="1"/>
        <v>9888163.8378432</v>
      </c>
      <c r="F18" s="16">
        <v>20000</v>
      </c>
      <c r="G18" s="27">
        <v>2000</v>
      </c>
      <c r="H18" s="27">
        <v>20000</v>
      </c>
      <c r="I18" s="16">
        <v>110000</v>
      </c>
      <c r="J18" s="16">
        <v>12615</v>
      </c>
      <c r="K18" s="34">
        <f t="shared" si="2"/>
        <v>10052778.8378432</v>
      </c>
      <c r="L18" s="16">
        <v>295</v>
      </c>
      <c r="M18" s="16">
        <v>0</v>
      </c>
      <c r="N18" s="16">
        <f t="shared" si="3"/>
        <v>295</v>
      </c>
      <c r="O18" s="37">
        <f t="shared" si="4"/>
        <v>34077.216399468474</v>
      </c>
    </row>
    <row r="19" spans="1:15" ht="12.75">
      <c r="A19" s="14">
        <v>15</v>
      </c>
      <c r="B19" s="4" t="s">
        <v>1</v>
      </c>
      <c r="C19" s="17">
        <f aca="true" t="shared" si="5" ref="C19:N19">SUM(C4:C18)</f>
        <v>89476461.38080001</v>
      </c>
      <c r="D19" s="17">
        <f t="shared" si="5"/>
        <v>27021891.337001596</v>
      </c>
      <c r="E19" s="17">
        <f t="shared" si="5"/>
        <v>116498352.71780159</v>
      </c>
      <c r="F19" s="17">
        <f t="shared" si="5"/>
        <v>308148</v>
      </c>
      <c r="G19" s="17">
        <f t="shared" si="5"/>
        <v>30750</v>
      </c>
      <c r="H19" s="17">
        <f t="shared" si="5"/>
        <v>228000</v>
      </c>
      <c r="I19" s="17">
        <f t="shared" si="5"/>
        <v>1105940</v>
      </c>
      <c r="J19" s="17">
        <f t="shared" si="5"/>
        <v>243362</v>
      </c>
      <c r="K19" s="17">
        <f t="shared" si="5"/>
        <v>118414552.71780159</v>
      </c>
      <c r="L19" s="17">
        <f t="shared" si="5"/>
        <v>2710</v>
      </c>
      <c r="M19" s="17">
        <f t="shared" si="5"/>
        <v>285</v>
      </c>
      <c r="N19" s="17">
        <f t="shared" si="5"/>
        <v>2995</v>
      </c>
      <c r="O19" s="58">
        <f t="shared" si="4"/>
        <v>39537.413261369475</v>
      </c>
    </row>
    <row r="20" spans="1:15" ht="12.75">
      <c r="A20" s="2">
        <v>1</v>
      </c>
      <c r="B20" s="2" t="s">
        <v>25</v>
      </c>
      <c r="C20" s="45">
        <f>'Заработная плата 2020-21'!J22</f>
        <v>5832581.9032</v>
      </c>
      <c r="D20" s="45">
        <f>'Заработная плата 2020-21'!K22</f>
        <v>1761439.7347663997</v>
      </c>
      <c r="E20" s="45">
        <f t="shared" si="1"/>
        <v>7594021.637966399</v>
      </c>
      <c r="F20" s="16">
        <v>11894</v>
      </c>
      <c r="G20" s="27">
        <v>1000</v>
      </c>
      <c r="H20" s="27"/>
      <c r="I20" s="16">
        <v>80000</v>
      </c>
      <c r="J20" s="16">
        <v>146130</v>
      </c>
      <c r="K20" s="34">
        <f aca="true" t="shared" si="6" ref="K20:K25">SUM(E20:J20)</f>
        <v>7833045.637966399</v>
      </c>
      <c r="L20" s="16">
        <v>215</v>
      </c>
      <c r="M20" s="16"/>
      <c r="N20" s="16">
        <f aca="true" t="shared" si="7" ref="N20:N25">L20+M20</f>
        <v>215</v>
      </c>
      <c r="O20" s="37">
        <f t="shared" si="4"/>
        <v>36432.77040914604</v>
      </c>
    </row>
    <row r="21" spans="1:15" ht="12.75">
      <c r="A21" s="2">
        <f>SUM(A20+1)</f>
        <v>2</v>
      </c>
      <c r="B21" s="2" t="s">
        <v>26</v>
      </c>
      <c r="C21" s="45">
        <f>'Заработная плата 2020-21'!J23</f>
        <v>4424135.284399999</v>
      </c>
      <c r="D21" s="45">
        <f>'Заработная плата 2020-21'!K23</f>
        <v>1336088.8558887998</v>
      </c>
      <c r="E21" s="45">
        <f t="shared" si="1"/>
        <v>5760224.140288799</v>
      </c>
      <c r="F21" s="16">
        <v>9000</v>
      </c>
      <c r="G21" s="27">
        <v>1000</v>
      </c>
      <c r="H21" s="27"/>
      <c r="I21" s="16">
        <v>80000</v>
      </c>
      <c r="J21" s="16">
        <v>125677</v>
      </c>
      <c r="K21" s="34">
        <f t="shared" si="6"/>
        <v>5975901.140288799</v>
      </c>
      <c r="L21" s="16">
        <v>194</v>
      </c>
      <c r="M21" s="16"/>
      <c r="N21" s="16">
        <f t="shared" si="7"/>
        <v>194</v>
      </c>
      <c r="O21" s="37">
        <f t="shared" si="4"/>
        <v>30803.614125199994</v>
      </c>
    </row>
    <row r="22" spans="1:15" ht="12.75">
      <c r="A22" s="2">
        <f>SUM(A21+1)</f>
        <v>3</v>
      </c>
      <c r="B22" s="2" t="s">
        <v>27</v>
      </c>
      <c r="C22" s="45">
        <f>'Заработная плата 2020-21'!J24</f>
        <v>3036946.5619999995</v>
      </c>
      <c r="D22" s="45">
        <f>'Заработная плата 2020-21'!K24</f>
        <v>917157.8617239998</v>
      </c>
      <c r="E22" s="45">
        <f t="shared" si="1"/>
        <v>3954104.4237239994</v>
      </c>
      <c r="F22" s="16">
        <v>10337</v>
      </c>
      <c r="G22" s="27">
        <v>1000</v>
      </c>
      <c r="H22" s="27"/>
      <c r="I22" s="16">
        <v>50000</v>
      </c>
      <c r="J22" s="16">
        <v>103200</v>
      </c>
      <c r="K22" s="34">
        <f t="shared" si="6"/>
        <v>4118641.4237239994</v>
      </c>
      <c r="L22" s="16">
        <v>148</v>
      </c>
      <c r="M22" s="16"/>
      <c r="N22" s="16">
        <f t="shared" si="7"/>
        <v>148</v>
      </c>
      <c r="O22" s="37">
        <f t="shared" si="4"/>
        <v>27828.6582684054</v>
      </c>
    </row>
    <row r="23" spans="1:15" ht="12.75">
      <c r="A23" s="2">
        <f>SUM(A22+1)</f>
        <v>4</v>
      </c>
      <c r="B23" s="2" t="s">
        <v>40</v>
      </c>
      <c r="C23" s="45">
        <f>'Заработная плата 2020-21'!J25</f>
        <v>3392423.1276</v>
      </c>
      <c r="D23" s="45">
        <f>'Заработная плата 2020-21'!K25</f>
        <v>1024511.7845351999</v>
      </c>
      <c r="E23" s="45">
        <f>C23+D23</f>
        <v>4416934.9121352</v>
      </c>
      <c r="F23" s="16">
        <v>9000</v>
      </c>
      <c r="G23" s="27">
        <v>1000</v>
      </c>
      <c r="H23" s="27"/>
      <c r="I23" s="16">
        <v>30000</v>
      </c>
      <c r="J23" s="16">
        <v>63392</v>
      </c>
      <c r="K23" s="34">
        <f t="shared" si="6"/>
        <v>4520326.9121352</v>
      </c>
      <c r="L23" s="16">
        <v>93</v>
      </c>
      <c r="M23" s="16"/>
      <c r="N23" s="16">
        <f t="shared" si="7"/>
        <v>93</v>
      </c>
      <c r="O23" s="37">
        <f t="shared" si="4"/>
        <v>48605.665721883866</v>
      </c>
    </row>
    <row r="24" spans="1:15" ht="12.75">
      <c r="A24" s="2">
        <f>SUM(A23+1)</f>
        <v>5</v>
      </c>
      <c r="B24" s="2" t="s">
        <v>42</v>
      </c>
      <c r="C24" s="45">
        <f>'Заработная плата 2020-21'!J26</f>
        <v>4850344.5692</v>
      </c>
      <c r="D24" s="45">
        <f>'Заработная плата 2020-21'!K26</f>
        <v>1464804.0598984</v>
      </c>
      <c r="E24" s="45">
        <f t="shared" si="1"/>
        <v>6315148.6290984</v>
      </c>
      <c r="F24" s="16">
        <v>10337</v>
      </c>
      <c r="G24" s="27">
        <v>1000</v>
      </c>
      <c r="H24" s="27"/>
      <c r="I24" s="16">
        <v>80000</v>
      </c>
      <c r="J24" s="16">
        <v>118738</v>
      </c>
      <c r="K24" s="34">
        <f t="shared" si="6"/>
        <v>6525223.6290984</v>
      </c>
      <c r="L24" s="16">
        <v>200</v>
      </c>
      <c r="M24" s="16"/>
      <c r="N24" s="16">
        <f t="shared" si="7"/>
        <v>200</v>
      </c>
      <c r="O24" s="37">
        <f t="shared" si="4"/>
        <v>32626.118145491997</v>
      </c>
    </row>
    <row r="25" spans="1:15" ht="12.75">
      <c r="A25" s="2">
        <f>SUM(A24+1)</f>
        <v>6</v>
      </c>
      <c r="B25" s="2" t="s">
        <v>32</v>
      </c>
      <c r="C25" s="45">
        <f>'Заработная плата 2020-21'!J27</f>
        <v>906640.02</v>
      </c>
      <c r="D25" s="45">
        <f>'Заработная плата 2020-21'!K27</f>
        <v>273805.28604</v>
      </c>
      <c r="E25" s="45">
        <f t="shared" si="1"/>
        <v>1180445.30604</v>
      </c>
      <c r="F25" s="16">
        <v>7080</v>
      </c>
      <c r="G25" s="27">
        <v>500</v>
      </c>
      <c r="H25" s="27"/>
      <c r="I25" s="16">
        <v>10000</v>
      </c>
      <c r="J25" s="16">
        <v>8515</v>
      </c>
      <c r="K25" s="34">
        <f t="shared" si="6"/>
        <v>1206540.30604</v>
      </c>
      <c r="L25" s="16">
        <v>36</v>
      </c>
      <c r="M25" s="16"/>
      <c r="N25" s="16">
        <f t="shared" si="7"/>
        <v>36</v>
      </c>
      <c r="O25" s="37">
        <f t="shared" si="4"/>
        <v>33515.00850111111</v>
      </c>
    </row>
    <row r="26" spans="1:15" ht="12.75">
      <c r="A26" s="14">
        <v>6</v>
      </c>
      <c r="B26" s="4" t="s">
        <v>1</v>
      </c>
      <c r="C26" s="17">
        <f aca="true" t="shared" si="8" ref="C26:N26">SUM(C20:C25)</f>
        <v>22443071.466399994</v>
      </c>
      <c r="D26" s="17">
        <f t="shared" si="8"/>
        <v>6777807.5828527985</v>
      </c>
      <c r="E26" s="17">
        <f t="shared" si="8"/>
        <v>29220879.049252797</v>
      </c>
      <c r="F26" s="17">
        <f t="shared" si="8"/>
        <v>57648</v>
      </c>
      <c r="G26" s="17">
        <f t="shared" si="8"/>
        <v>5500</v>
      </c>
      <c r="H26" s="17">
        <f t="shared" si="8"/>
        <v>0</v>
      </c>
      <c r="I26" s="17">
        <f t="shared" si="8"/>
        <v>330000</v>
      </c>
      <c r="J26" s="17">
        <f t="shared" si="8"/>
        <v>565652</v>
      </c>
      <c r="K26" s="17">
        <f t="shared" si="8"/>
        <v>30179679.049252797</v>
      </c>
      <c r="L26" s="17">
        <f t="shared" si="8"/>
        <v>886</v>
      </c>
      <c r="M26" s="17">
        <f t="shared" si="8"/>
        <v>0</v>
      </c>
      <c r="N26" s="17">
        <f t="shared" si="8"/>
        <v>886</v>
      </c>
      <c r="O26" s="58">
        <f t="shared" si="4"/>
        <v>34062.843170714215</v>
      </c>
    </row>
    <row r="27" spans="1:15" ht="12.75">
      <c r="A27" s="2">
        <v>1</v>
      </c>
      <c r="B27" s="39" t="s">
        <v>35</v>
      </c>
      <c r="C27" s="16">
        <f>'Заработная плата 2020-21'!J29</f>
        <v>2070143</v>
      </c>
      <c r="D27" s="16">
        <f>'Заработная плата 2020-21'!K29</f>
        <v>625183.186</v>
      </c>
      <c r="E27" s="45">
        <f t="shared" si="1"/>
        <v>2695326.1859999998</v>
      </c>
      <c r="F27" s="16"/>
      <c r="G27" s="16"/>
      <c r="H27" s="16"/>
      <c r="I27" s="16"/>
      <c r="J27" s="16"/>
      <c r="K27" s="34">
        <f>SUM(E27:J27)</f>
        <v>2695326.1859999998</v>
      </c>
      <c r="L27" s="16">
        <v>1216</v>
      </c>
      <c r="M27" s="16"/>
      <c r="N27" s="16">
        <f>L27+M27</f>
        <v>1216</v>
      </c>
      <c r="O27" s="37">
        <f t="shared" si="4"/>
        <v>2216.5511398026315</v>
      </c>
    </row>
    <row r="28" spans="1:15" ht="12.75">
      <c r="A28" s="2">
        <f>SUM(A27+1)</f>
        <v>2</v>
      </c>
      <c r="B28" s="41" t="s">
        <v>38</v>
      </c>
      <c r="C28" s="45">
        <f>'Заработная плата 2020-21'!J30+'Заработная плата 2020-21'!J31</f>
        <v>4465496</v>
      </c>
      <c r="D28" s="45">
        <f>'Заработная плата 2020-21'!K30+'Заработная плата 2020-21'!K31</f>
        <v>1348579.792</v>
      </c>
      <c r="E28" s="45">
        <f t="shared" si="1"/>
        <v>5814075.791999999</v>
      </c>
      <c r="F28" s="16"/>
      <c r="G28" s="16"/>
      <c r="H28" s="16"/>
      <c r="I28" s="16"/>
      <c r="J28" s="16"/>
      <c r="K28" s="34">
        <f>SUM(E28:J28)</f>
        <v>5814075.791999999</v>
      </c>
      <c r="L28" s="16">
        <v>1135</v>
      </c>
      <c r="M28" s="16"/>
      <c r="N28" s="16">
        <f>L28+M28</f>
        <v>1135</v>
      </c>
      <c r="O28" s="37">
        <f t="shared" si="4"/>
        <v>5122.533737444934</v>
      </c>
    </row>
    <row r="29" spans="1:15" ht="12.75">
      <c r="A29" s="2">
        <f>SUM(A28+1)</f>
        <v>3</v>
      </c>
      <c r="B29" s="40" t="s">
        <v>39</v>
      </c>
      <c r="C29" s="16">
        <f>'Заработная плата 2020-21'!J32</f>
        <v>3795970</v>
      </c>
      <c r="D29" s="16">
        <f>'Заработная плата 2020-21'!K32</f>
        <v>1146382.94</v>
      </c>
      <c r="E29" s="45">
        <f t="shared" si="1"/>
        <v>4942352.9399999995</v>
      </c>
      <c r="F29" s="16"/>
      <c r="G29" s="16"/>
      <c r="H29" s="16"/>
      <c r="I29" s="16"/>
      <c r="J29" s="16"/>
      <c r="K29" s="34">
        <f>SUM(E29:J29)</f>
        <v>4942352.9399999995</v>
      </c>
      <c r="L29" s="16">
        <v>271</v>
      </c>
      <c r="M29" s="55"/>
      <c r="N29" s="16">
        <f>L29+M29</f>
        <v>271</v>
      </c>
      <c r="O29" s="37">
        <f t="shared" si="4"/>
        <v>18237.46472324723</v>
      </c>
    </row>
    <row r="30" spans="1:15" ht="12.75">
      <c r="A30" s="14">
        <v>3</v>
      </c>
      <c r="B30" s="4" t="s">
        <v>1</v>
      </c>
      <c r="C30" s="28">
        <f aca="true" t="shared" si="9" ref="C30:N30">SUM(C27:C29)</f>
        <v>10331609</v>
      </c>
      <c r="D30" s="28">
        <f t="shared" si="9"/>
        <v>3120145.9179999996</v>
      </c>
      <c r="E30" s="28">
        <f t="shared" si="9"/>
        <v>13451754.918</v>
      </c>
      <c r="F30" s="28">
        <f t="shared" si="9"/>
        <v>0</v>
      </c>
      <c r="G30" s="28">
        <f t="shared" si="9"/>
        <v>0</v>
      </c>
      <c r="H30" s="28">
        <f t="shared" si="9"/>
        <v>0</v>
      </c>
      <c r="I30" s="28">
        <f t="shared" si="9"/>
        <v>0</v>
      </c>
      <c r="J30" s="28">
        <f t="shared" si="9"/>
        <v>0</v>
      </c>
      <c r="K30" s="28">
        <f t="shared" si="9"/>
        <v>13451754.918</v>
      </c>
      <c r="L30" s="28">
        <f t="shared" si="9"/>
        <v>2622</v>
      </c>
      <c r="M30" s="28">
        <f t="shared" si="9"/>
        <v>0</v>
      </c>
      <c r="N30" s="28">
        <f t="shared" si="9"/>
        <v>2622</v>
      </c>
      <c r="O30" s="58">
        <f t="shared" si="4"/>
        <v>5130.341311212815</v>
      </c>
    </row>
    <row r="31" spans="2:16" ht="12.75">
      <c r="B31" s="1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ht="13.5">
      <c r="B32" s="59" t="s">
        <v>132</v>
      </c>
    </row>
    <row r="33" spans="2:9" ht="13.5">
      <c r="B33" s="59"/>
      <c r="C33" s="9"/>
      <c r="I33" s="6"/>
    </row>
    <row r="34" spans="2:5" ht="12.75">
      <c r="B34" s="65" t="s">
        <v>133</v>
      </c>
      <c r="C34" s="70"/>
      <c r="D34" s="70"/>
      <c r="E34" s="70"/>
    </row>
    <row r="35" spans="2:5" ht="12.75">
      <c r="B35" s="65" t="s">
        <v>134</v>
      </c>
      <c r="C35" s="70"/>
      <c r="D35" s="70"/>
      <c r="E35" s="70"/>
    </row>
    <row r="36" spans="2:5" ht="12.75">
      <c r="B36" s="72" t="s">
        <v>116</v>
      </c>
      <c r="C36" s="70"/>
      <c r="D36" s="70"/>
      <c r="E36" s="70"/>
    </row>
  </sheetData>
  <sheetProtection/>
  <printOptions/>
  <pageMargins left="0.2" right="0.2" top="0.52" bottom="0.49" header="0.5" footer="0.5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pane xSplit="2" ySplit="3" topLeftCell="D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8" sqref="I28"/>
    </sheetView>
  </sheetViews>
  <sheetFormatPr defaultColWidth="9.00390625" defaultRowHeight="12.75"/>
  <cols>
    <col min="1" max="1" width="3.50390625" style="0" customWidth="1"/>
    <col min="2" max="2" width="29.00390625" style="0" customWidth="1"/>
    <col min="3" max="3" width="9.875" style="0" customWidth="1"/>
    <col min="4" max="4" width="9.625" style="0" customWidth="1"/>
    <col min="5" max="5" width="9.00390625" style="0" customWidth="1"/>
    <col min="6" max="6" width="10.375" style="0" customWidth="1"/>
    <col min="7" max="8" width="10.00390625" style="0" customWidth="1"/>
    <col min="9" max="10" width="9.50390625" style="0" customWidth="1"/>
    <col min="12" max="12" width="9.875" style="0" customWidth="1"/>
    <col min="13" max="13" width="9.00390625" style="0" customWidth="1"/>
    <col min="14" max="14" width="8.50390625" style="0" customWidth="1"/>
    <col min="15" max="15" width="9.50390625" style="0" customWidth="1"/>
    <col min="16" max="16" width="8.375" style="0" customWidth="1"/>
    <col min="17" max="17" width="10.125" style="0" customWidth="1"/>
    <col min="18" max="18" width="13.375" style="0" customWidth="1"/>
    <col min="19" max="19" width="12.00390625" style="0" customWidth="1"/>
    <col min="20" max="20" width="8.50390625" style="0" customWidth="1"/>
    <col min="21" max="21" width="3.00390625" style="0" customWidth="1"/>
    <col min="22" max="22" width="2.875" style="0" customWidth="1"/>
    <col min="23" max="23" width="2.625" style="0" customWidth="1"/>
    <col min="24" max="24" width="7.625" style="0" customWidth="1"/>
  </cols>
  <sheetData>
    <row r="1" spans="2:3" ht="12.75">
      <c r="B1" s="15"/>
      <c r="C1" s="3" t="s">
        <v>98</v>
      </c>
    </row>
    <row r="2" spans="2:3" ht="12.75">
      <c r="B2" s="3"/>
      <c r="C2" s="3"/>
    </row>
    <row r="3" spans="1:19" ht="68.25" customHeight="1">
      <c r="A3" s="1"/>
      <c r="B3" s="13" t="s">
        <v>0</v>
      </c>
      <c r="C3" s="7" t="s">
        <v>74</v>
      </c>
      <c r="D3" s="7" t="s">
        <v>75</v>
      </c>
      <c r="E3" s="7" t="s">
        <v>72</v>
      </c>
      <c r="F3" s="7" t="s">
        <v>76</v>
      </c>
      <c r="G3" s="7" t="s">
        <v>111</v>
      </c>
      <c r="H3" s="7" t="s">
        <v>73</v>
      </c>
      <c r="I3" s="7" t="s">
        <v>77</v>
      </c>
      <c r="J3" s="7" t="s">
        <v>109</v>
      </c>
      <c r="K3" s="7" t="s">
        <v>69</v>
      </c>
      <c r="L3" s="7" t="s">
        <v>70</v>
      </c>
      <c r="M3" s="7" t="s">
        <v>71</v>
      </c>
      <c r="N3" s="36" t="s">
        <v>2</v>
      </c>
      <c r="O3" s="7" t="s">
        <v>58</v>
      </c>
      <c r="P3" s="7" t="s">
        <v>60</v>
      </c>
      <c r="Q3" s="7" t="s">
        <v>61</v>
      </c>
      <c r="R3" s="57" t="s">
        <v>99</v>
      </c>
      <c r="S3" s="7" t="s">
        <v>119</v>
      </c>
    </row>
    <row r="4" spans="1:19" ht="12.75">
      <c r="A4" s="2">
        <v>1</v>
      </c>
      <c r="B4" s="2" t="s">
        <v>7</v>
      </c>
      <c r="C4" s="18">
        <v>650263</v>
      </c>
      <c r="D4" s="16">
        <v>95491</v>
      </c>
      <c r="E4" s="16">
        <v>7412</v>
      </c>
      <c r="F4" s="16">
        <v>8641</v>
      </c>
      <c r="G4" s="16">
        <v>98416</v>
      </c>
      <c r="H4" s="16"/>
      <c r="I4" s="16">
        <v>16092</v>
      </c>
      <c r="J4" s="16">
        <v>122440</v>
      </c>
      <c r="K4" s="27">
        <f>'Заработная плата 2020-21'!M6</f>
        <v>1541227.4336</v>
      </c>
      <c r="L4" s="27">
        <f>'Заработная плата 2020-21'!N6</f>
        <v>465450.6849472</v>
      </c>
      <c r="M4" s="16">
        <f>K4+L4</f>
        <v>2006678.1185472002</v>
      </c>
      <c r="N4" s="34">
        <f>SUM(C4+D4+E4+F4+G4+I4+K4+L4+H4+J4)</f>
        <v>3005433.1185472</v>
      </c>
      <c r="O4" s="16">
        <v>36</v>
      </c>
      <c r="P4" s="16">
        <v>22</v>
      </c>
      <c r="Q4" s="16">
        <f>O4+P4</f>
        <v>58</v>
      </c>
      <c r="R4" s="37">
        <f>N4/Q4</f>
        <v>51817.81238874483</v>
      </c>
      <c r="S4" s="23">
        <f>(C4+D4)/Q4</f>
        <v>12857.827586206897</v>
      </c>
    </row>
    <row r="5" spans="1:19" ht="12.75">
      <c r="A5" s="2">
        <f aca="true" t="shared" si="0" ref="A5:A18">SUM(A4+1)</f>
        <v>2</v>
      </c>
      <c r="B5" s="5" t="s">
        <v>8</v>
      </c>
      <c r="C5" s="18">
        <v>549113</v>
      </c>
      <c r="D5" s="16">
        <v>79070</v>
      </c>
      <c r="E5" s="16">
        <v>3720</v>
      </c>
      <c r="F5" s="16">
        <v>142885</v>
      </c>
      <c r="G5" s="45">
        <v>94092</v>
      </c>
      <c r="H5" s="45"/>
      <c r="I5" s="45">
        <v>171000</v>
      </c>
      <c r="J5" s="45">
        <v>122400</v>
      </c>
      <c r="K5" s="27">
        <f>'Заработная плата 2020-21'!M7</f>
        <v>801112.7812000003</v>
      </c>
      <c r="L5" s="27">
        <f>'Заработная плата 2020-21'!N7</f>
        <v>241936.05992240008</v>
      </c>
      <c r="M5" s="16">
        <f aca="true" t="shared" si="1" ref="M5:M18">K5+L5</f>
        <v>1043048.8411224004</v>
      </c>
      <c r="N5" s="34">
        <f aca="true" t="shared" si="2" ref="N5:N29">SUM(C5+D5+E5+F5+G5+I5+K5+L5+H5+J5)</f>
        <v>2205328.8411224005</v>
      </c>
      <c r="O5" s="16">
        <v>70</v>
      </c>
      <c r="P5" s="16">
        <v>0</v>
      </c>
      <c r="Q5" s="16">
        <f aca="true" t="shared" si="3" ref="Q5:Q18">O5+P5</f>
        <v>70</v>
      </c>
      <c r="R5" s="37">
        <f>N5/Q5</f>
        <v>31504.697730320007</v>
      </c>
      <c r="S5" s="23">
        <f aca="true" t="shared" si="4" ref="S5:S30">(C5+D5)/Q5</f>
        <v>8974.042857142857</v>
      </c>
    </row>
    <row r="6" spans="1:19" ht="12.75">
      <c r="A6" s="2">
        <f t="shared" si="0"/>
        <v>3</v>
      </c>
      <c r="B6" s="5" t="s">
        <v>9</v>
      </c>
      <c r="C6" s="18">
        <v>546211</v>
      </c>
      <c r="D6" s="16">
        <v>104632</v>
      </c>
      <c r="E6" s="16">
        <v>8806</v>
      </c>
      <c r="F6" s="16">
        <v>67094</v>
      </c>
      <c r="G6" s="45">
        <v>177876</v>
      </c>
      <c r="H6" s="45"/>
      <c r="I6" s="45">
        <v>85913</v>
      </c>
      <c r="J6" s="45">
        <v>122440</v>
      </c>
      <c r="K6" s="27">
        <f>'Заработная плата 2020-21'!M8</f>
        <v>1135003.7584000002</v>
      </c>
      <c r="L6" s="27">
        <f>'Заработная плата 2020-21'!N8</f>
        <v>342771.13503680006</v>
      </c>
      <c r="M6" s="16">
        <f t="shared" si="1"/>
        <v>1477774.8934368002</v>
      </c>
      <c r="N6" s="34">
        <f t="shared" si="2"/>
        <v>2590746.8934368</v>
      </c>
      <c r="O6" s="16">
        <v>73</v>
      </c>
      <c r="P6" s="16">
        <v>34</v>
      </c>
      <c r="Q6" s="16">
        <f t="shared" si="3"/>
        <v>107</v>
      </c>
      <c r="R6" s="37">
        <f>N6/Q6</f>
        <v>24212.587789128975</v>
      </c>
      <c r="S6" s="23">
        <f t="shared" si="4"/>
        <v>6082.644859813084</v>
      </c>
    </row>
    <row r="7" spans="1:19" ht="12.75">
      <c r="A7" s="2">
        <f t="shared" si="0"/>
        <v>4</v>
      </c>
      <c r="B7" s="5" t="s">
        <v>10</v>
      </c>
      <c r="C7" s="18">
        <v>520697</v>
      </c>
      <c r="D7" s="16">
        <v>123500</v>
      </c>
      <c r="E7" s="16">
        <v>3224</v>
      </c>
      <c r="F7" s="16">
        <v>56623</v>
      </c>
      <c r="G7" s="45">
        <v>106832</v>
      </c>
      <c r="H7" s="45"/>
      <c r="I7" s="45">
        <v>140029</v>
      </c>
      <c r="J7" s="45">
        <v>122440</v>
      </c>
      <c r="K7" s="27">
        <f>'Заработная плата 2020-21'!M9</f>
        <v>923801.7092000004</v>
      </c>
      <c r="L7" s="27">
        <f>'Заработная плата 2020-21'!N9</f>
        <v>278988.1161784001</v>
      </c>
      <c r="M7" s="16">
        <f t="shared" si="1"/>
        <v>1202789.8253784005</v>
      </c>
      <c r="N7" s="34">
        <f t="shared" si="2"/>
        <v>2276134.8253784003</v>
      </c>
      <c r="O7" s="16">
        <v>87</v>
      </c>
      <c r="P7" s="16">
        <v>15</v>
      </c>
      <c r="Q7" s="16">
        <f t="shared" si="3"/>
        <v>102</v>
      </c>
      <c r="R7" s="37">
        <f>N7/Q7</f>
        <v>22315.047307631376</v>
      </c>
      <c r="S7" s="23">
        <f t="shared" si="4"/>
        <v>6315.656862745098</v>
      </c>
    </row>
    <row r="8" spans="1:19" ht="12.75">
      <c r="A8" s="2">
        <f t="shared" si="0"/>
        <v>5</v>
      </c>
      <c r="B8" s="5" t="s">
        <v>12</v>
      </c>
      <c r="C8" s="18">
        <v>635087</v>
      </c>
      <c r="D8" s="16">
        <v>201763</v>
      </c>
      <c r="E8" s="16">
        <v>11373</v>
      </c>
      <c r="F8" s="16">
        <v>39841</v>
      </c>
      <c r="G8" s="45">
        <v>103216</v>
      </c>
      <c r="H8" s="45"/>
      <c r="I8" s="45">
        <v>123911</v>
      </c>
      <c r="J8" s="45">
        <v>122440</v>
      </c>
      <c r="K8" s="27">
        <f>'Заработная плата 2020-21'!M10</f>
        <v>807649.2468000004</v>
      </c>
      <c r="L8" s="27">
        <f>'Заработная плата 2020-21'!N10</f>
        <v>243910.07253360012</v>
      </c>
      <c r="M8" s="16">
        <f t="shared" si="1"/>
        <v>1051559.3193336006</v>
      </c>
      <c r="N8" s="34">
        <f t="shared" si="2"/>
        <v>2289190.3193336003</v>
      </c>
      <c r="O8" s="16">
        <v>62</v>
      </c>
      <c r="P8" s="16">
        <v>15</v>
      </c>
      <c r="Q8" s="16">
        <f t="shared" si="3"/>
        <v>77</v>
      </c>
      <c r="R8" s="37">
        <f aca="true" t="shared" si="5" ref="R8:R30">N8/Q8</f>
        <v>29729.744406929876</v>
      </c>
      <c r="S8" s="23">
        <f t="shared" si="4"/>
        <v>10868.181818181818</v>
      </c>
    </row>
    <row r="9" spans="1:19" ht="12.75">
      <c r="A9" s="2">
        <f t="shared" si="0"/>
        <v>6</v>
      </c>
      <c r="B9" s="5" t="s">
        <v>14</v>
      </c>
      <c r="C9" s="45">
        <v>1031059</v>
      </c>
      <c r="D9" s="16">
        <v>74335</v>
      </c>
      <c r="E9" s="16">
        <v>9683</v>
      </c>
      <c r="F9" s="16">
        <v>173577</v>
      </c>
      <c r="G9" s="45">
        <v>117875</v>
      </c>
      <c r="H9" s="45"/>
      <c r="I9" s="45">
        <v>225532</v>
      </c>
      <c r="J9" s="45">
        <v>122440</v>
      </c>
      <c r="K9" s="27">
        <f>'Заработная плата 2020-21'!M11</f>
        <v>1539331.7172000005</v>
      </c>
      <c r="L9" s="27">
        <f>'Заработная плата 2020-21'!N11</f>
        <v>464878.1785944002</v>
      </c>
      <c r="M9" s="16">
        <f t="shared" si="1"/>
        <v>2004209.8957944007</v>
      </c>
      <c r="N9" s="34">
        <f t="shared" si="2"/>
        <v>3758710.895794401</v>
      </c>
      <c r="O9" s="16">
        <v>121</v>
      </c>
      <c r="P9" s="16">
        <v>29</v>
      </c>
      <c r="Q9" s="16">
        <f t="shared" si="3"/>
        <v>150</v>
      </c>
      <c r="R9" s="37">
        <f t="shared" si="5"/>
        <v>25058.07263862934</v>
      </c>
      <c r="S9" s="23">
        <f t="shared" si="4"/>
        <v>7369.293333333333</v>
      </c>
    </row>
    <row r="10" spans="1:19" ht="12.75">
      <c r="A10" s="2">
        <f t="shared" si="0"/>
        <v>7</v>
      </c>
      <c r="B10" s="5" t="s">
        <v>15</v>
      </c>
      <c r="C10" s="18">
        <v>670215</v>
      </c>
      <c r="D10" s="16">
        <v>118457</v>
      </c>
      <c r="E10" s="16">
        <v>14418</v>
      </c>
      <c r="F10" s="16">
        <v>237674</v>
      </c>
      <c r="G10" s="45">
        <v>152464</v>
      </c>
      <c r="H10" s="45">
        <v>26000</v>
      </c>
      <c r="I10" s="45">
        <v>437010</v>
      </c>
      <c r="J10" s="45">
        <v>122440</v>
      </c>
      <c r="K10" s="27">
        <f>'Заработная плата 2020-21'!M12</f>
        <v>832075.7612</v>
      </c>
      <c r="L10" s="27">
        <f>'Заработная плата 2020-21'!N12</f>
        <v>251286.87988239998</v>
      </c>
      <c r="M10" s="16">
        <f t="shared" si="1"/>
        <v>1083362.6410824</v>
      </c>
      <c r="N10" s="34">
        <f t="shared" si="2"/>
        <v>2862040.6410824</v>
      </c>
      <c r="O10" s="16">
        <v>177</v>
      </c>
      <c r="P10" s="16">
        <v>21</v>
      </c>
      <c r="Q10" s="16">
        <f t="shared" si="3"/>
        <v>198</v>
      </c>
      <c r="R10" s="37">
        <f t="shared" si="5"/>
        <v>14454.750712537374</v>
      </c>
      <c r="S10" s="23">
        <f t="shared" si="4"/>
        <v>3983.191919191919</v>
      </c>
    </row>
    <row r="11" spans="1:19" ht="12.75">
      <c r="A11" s="2">
        <f t="shared" si="0"/>
        <v>8</v>
      </c>
      <c r="B11" s="5" t="s">
        <v>17</v>
      </c>
      <c r="C11" s="16">
        <v>652791</v>
      </c>
      <c r="D11" s="16">
        <v>93563</v>
      </c>
      <c r="E11" s="16">
        <v>7804</v>
      </c>
      <c r="F11" s="16">
        <v>60672</v>
      </c>
      <c r="G11" s="45">
        <v>105024</v>
      </c>
      <c r="H11" s="45"/>
      <c r="I11" s="45">
        <v>155449</v>
      </c>
      <c r="J11" s="45">
        <v>122440</v>
      </c>
      <c r="K11" s="27">
        <f>'Заработная плата 2020-21'!M13</f>
        <v>935494.8176000002</v>
      </c>
      <c r="L11" s="27">
        <f>'Заработная плата 2020-21'!N13</f>
        <v>282519.43491520005</v>
      </c>
      <c r="M11" s="16">
        <f t="shared" si="1"/>
        <v>1218014.2525152003</v>
      </c>
      <c r="N11" s="34">
        <f t="shared" si="2"/>
        <v>2415757.2525152</v>
      </c>
      <c r="O11" s="16">
        <v>69</v>
      </c>
      <c r="P11" s="16">
        <v>20</v>
      </c>
      <c r="Q11" s="16">
        <f t="shared" si="3"/>
        <v>89</v>
      </c>
      <c r="R11" s="37">
        <f t="shared" si="5"/>
        <v>27143.339915901124</v>
      </c>
      <c r="S11" s="23">
        <f t="shared" si="4"/>
        <v>8386</v>
      </c>
    </row>
    <row r="12" spans="1:19" ht="12.75">
      <c r="A12" s="2">
        <f t="shared" si="0"/>
        <v>9</v>
      </c>
      <c r="B12" s="5" t="s">
        <v>18</v>
      </c>
      <c r="C12" s="18">
        <v>1697496</v>
      </c>
      <c r="D12" s="16">
        <v>175681</v>
      </c>
      <c r="E12" s="16">
        <v>11659</v>
      </c>
      <c r="F12" s="16">
        <v>294455</v>
      </c>
      <c r="G12" s="45">
        <v>254862</v>
      </c>
      <c r="H12" s="45"/>
      <c r="I12" s="45">
        <v>220560</v>
      </c>
      <c r="J12" s="45">
        <v>122440</v>
      </c>
      <c r="K12" s="27">
        <f>'Заработная плата 2020-21'!M14</f>
        <v>1450132.2788</v>
      </c>
      <c r="L12" s="27">
        <f>'Заработная плата 2020-21'!N14</f>
        <v>437939.94819759997</v>
      </c>
      <c r="M12" s="16">
        <f t="shared" si="1"/>
        <v>1888072.2269976</v>
      </c>
      <c r="N12" s="34">
        <f t="shared" si="2"/>
        <v>4665225.2269976</v>
      </c>
      <c r="O12" s="16">
        <v>125</v>
      </c>
      <c r="P12" s="16">
        <v>37</v>
      </c>
      <c r="Q12" s="16">
        <f t="shared" si="3"/>
        <v>162</v>
      </c>
      <c r="R12" s="37">
        <f t="shared" si="5"/>
        <v>28797.68658640494</v>
      </c>
      <c r="S12" s="23">
        <f t="shared" si="4"/>
        <v>11562.82098765432</v>
      </c>
    </row>
    <row r="13" spans="1:19" ht="12.75">
      <c r="A13" s="2">
        <f t="shared" si="0"/>
        <v>10</v>
      </c>
      <c r="B13" s="5" t="s">
        <v>19</v>
      </c>
      <c r="C13" s="18">
        <v>812308</v>
      </c>
      <c r="D13" s="16">
        <v>130703</v>
      </c>
      <c r="E13" s="16">
        <v>9447</v>
      </c>
      <c r="F13" s="16">
        <v>181666</v>
      </c>
      <c r="G13" s="45">
        <v>143180</v>
      </c>
      <c r="H13" s="45"/>
      <c r="I13" s="45">
        <v>326460</v>
      </c>
      <c r="J13" s="45">
        <v>122440</v>
      </c>
      <c r="K13" s="27">
        <f>'Заработная плата 2020-21'!M15</f>
        <v>1573519.2196</v>
      </c>
      <c r="L13" s="27">
        <f>'Заработная плата 2020-21'!N15</f>
        <v>475202.8043192</v>
      </c>
      <c r="M13" s="16">
        <f t="shared" si="1"/>
        <v>2048722.0239192</v>
      </c>
      <c r="N13" s="34">
        <f t="shared" si="2"/>
        <v>3774926.0239192</v>
      </c>
      <c r="O13" s="16">
        <v>108</v>
      </c>
      <c r="P13" s="16">
        <v>28</v>
      </c>
      <c r="Q13" s="16">
        <f t="shared" si="3"/>
        <v>136</v>
      </c>
      <c r="R13" s="37">
        <f t="shared" si="5"/>
        <v>27756.808999405883</v>
      </c>
      <c r="S13" s="23">
        <f t="shared" si="4"/>
        <v>6933.904411764706</v>
      </c>
    </row>
    <row r="14" spans="1:19" ht="12.75">
      <c r="A14" s="2">
        <f t="shared" si="0"/>
        <v>11</v>
      </c>
      <c r="B14" s="5" t="s">
        <v>20</v>
      </c>
      <c r="C14" s="18">
        <v>622481</v>
      </c>
      <c r="D14" s="16">
        <v>71823</v>
      </c>
      <c r="E14" s="16">
        <v>7238</v>
      </c>
      <c r="F14" s="16">
        <v>18224</v>
      </c>
      <c r="G14" s="45">
        <v>100208</v>
      </c>
      <c r="H14" s="45"/>
      <c r="I14" s="45">
        <v>210549</v>
      </c>
      <c r="J14" s="45">
        <v>122440</v>
      </c>
      <c r="K14" s="27">
        <f>'Заработная плата 2020-21'!M16</f>
        <v>775300.9672000003</v>
      </c>
      <c r="L14" s="27">
        <f>'Заработная плата 2020-21'!N16</f>
        <v>234140.89209440007</v>
      </c>
      <c r="M14" s="16">
        <f t="shared" si="1"/>
        <v>1009441.8592944003</v>
      </c>
      <c r="N14" s="34">
        <f t="shared" si="2"/>
        <v>2162404.8592944006</v>
      </c>
      <c r="O14" s="16">
        <v>43</v>
      </c>
      <c r="P14" s="16">
        <v>13</v>
      </c>
      <c r="Q14" s="16">
        <f t="shared" si="3"/>
        <v>56</v>
      </c>
      <c r="R14" s="37">
        <f t="shared" si="5"/>
        <v>38614.37248740001</v>
      </c>
      <c r="S14" s="23">
        <f t="shared" si="4"/>
        <v>12398.285714285714</v>
      </c>
    </row>
    <row r="15" spans="1:19" ht="12.75">
      <c r="A15" s="2">
        <f t="shared" si="0"/>
        <v>12</v>
      </c>
      <c r="B15" s="2" t="s">
        <v>21</v>
      </c>
      <c r="C15" s="18">
        <v>1288383</v>
      </c>
      <c r="D15" s="16">
        <v>148773</v>
      </c>
      <c r="E15" s="16">
        <v>15083</v>
      </c>
      <c r="F15" s="16">
        <v>193015</v>
      </c>
      <c r="G15" s="45">
        <v>220038</v>
      </c>
      <c r="H15" s="45"/>
      <c r="I15" s="45">
        <v>279366</v>
      </c>
      <c r="J15" s="45">
        <v>122400</v>
      </c>
      <c r="K15" s="27">
        <f>'Заработная плата 2020-21'!M17</f>
        <v>2192666.7552000005</v>
      </c>
      <c r="L15" s="27">
        <f>'Заработная плата 2020-21'!N17</f>
        <v>662185.3600704002</v>
      </c>
      <c r="M15" s="16">
        <f t="shared" si="1"/>
        <v>2854852.1152704004</v>
      </c>
      <c r="N15" s="34">
        <f t="shared" si="2"/>
        <v>5121910.1152704</v>
      </c>
      <c r="O15" s="16">
        <v>155</v>
      </c>
      <c r="P15" s="16">
        <v>51</v>
      </c>
      <c r="Q15" s="16">
        <f t="shared" si="3"/>
        <v>206</v>
      </c>
      <c r="R15" s="37">
        <f t="shared" si="5"/>
        <v>24863.64133626408</v>
      </c>
      <c r="S15" s="23">
        <f t="shared" si="4"/>
        <v>6976.485436893204</v>
      </c>
    </row>
    <row r="16" spans="1:19" ht="12.75">
      <c r="A16" s="2">
        <f t="shared" si="0"/>
        <v>13</v>
      </c>
      <c r="B16" s="2" t="s">
        <v>22</v>
      </c>
      <c r="C16" s="18">
        <v>1392966</v>
      </c>
      <c r="D16" s="16">
        <v>173581</v>
      </c>
      <c r="E16" s="16">
        <v>14960</v>
      </c>
      <c r="F16" s="16">
        <v>290582</v>
      </c>
      <c r="G16" s="45">
        <v>170374</v>
      </c>
      <c r="H16" s="45"/>
      <c r="I16" s="45">
        <v>1067059</v>
      </c>
      <c r="J16" s="45">
        <v>122440</v>
      </c>
      <c r="K16" s="27">
        <f>'Заработная плата 2020-21'!M18</f>
        <v>1689584.6552000006</v>
      </c>
      <c r="L16" s="27">
        <f>'Заработная плата 2020-21'!N18</f>
        <v>510254.56587040017</v>
      </c>
      <c r="M16" s="16">
        <f t="shared" si="1"/>
        <v>2199839.221070401</v>
      </c>
      <c r="N16" s="34">
        <f t="shared" si="2"/>
        <v>5431801.221070401</v>
      </c>
      <c r="O16" s="16">
        <v>265</v>
      </c>
      <c r="P16" s="16">
        <v>0</v>
      </c>
      <c r="Q16" s="16">
        <f t="shared" si="3"/>
        <v>265</v>
      </c>
      <c r="R16" s="37">
        <f t="shared" si="5"/>
        <v>20497.36309837887</v>
      </c>
      <c r="S16" s="23">
        <f t="shared" si="4"/>
        <v>5911.498113207547</v>
      </c>
    </row>
    <row r="17" spans="1:19" ht="12.75">
      <c r="A17" s="2">
        <f t="shared" si="0"/>
        <v>14</v>
      </c>
      <c r="B17" s="2" t="s">
        <v>23</v>
      </c>
      <c r="C17" s="18">
        <v>2956278</v>
      </c>
      <c r="D17" s="18">
        <v>455300</v>
      </c>
      <c r="E17" s="16">
        <v>16481</v>
      </c>
      <c r="F17" s="16">
        <v>274500</v>
      </c>
      <c r="G17" s="45">
        <v>151400</v>
      </c>
      <c r="H17" s="45"/>
      <c r="I17" s="45">
        <v>885700</v>
      </c>
      <c r="J17" s="45">
        <v>122400</v>
      </c>
      <c r="K17" s="27">
        <f>'Заработная плата 2020-21'!M19</f>
        <v>3750861.399600002</v>
      </c>
      <c r="L17" s="27">
        <f>'Заработная плата 2020-21'!N19</f>
        <v>1132795</v>
      </c>
      <c r="M17" s="16">
        <f t="shared" si="1"/>
        <v>4883656.399600002</v>
      </c>
      <c r="N17" s="34">
        <f t="shared" si="2"/>
        <v>9745715.399600003</v>
      </c>
      <c r="O17" s="16">
        <v>1024</v>
      </c>
      <c r="P17" s="16">
        <v>0</v>
      </c>
      <c r="Q17" s="16">
        <f t="shared" si="3"/>
        <v>1024</v>
      </c>
      <c r="R17" s="37">
        <f t="shared" si="5"/>
        <v>9517.300194921878</v>
      </c>
      <c r="S17" s="23">
        <f t="shared" si="4"/>
        <v>3331.619140625</v>
      </c>
    </row>
    <row r="18" spans="1:19" ht="12.75">
      <c r="A18" s="2">
        <f t="shared" si="0"/>
        <v>15</v>
      </c>
      <c r="B18" s="2" t="s">
        <v>24</v>
      </c>
      <c r="C18" s="18">
        <v>2090649</v>
      </c>
      <c r="D18" s="16">
        <v>169967</v>
      </c>
      <c r="E18" s="16">
        <v>12116</v>
      </c>
      <c r="F18" s="16">
        <v>47016</v>
      </c>
      <c r="G18" s="16">
        <v>147000</v>
      </c>
      <c r="H18" s="16"/>
      <c r="I18" s="16">
        <v>538685</v>
      </c>
      <c r="J18" s="45">
        <v>122560</v>
      </c>
      <c r="K18" s="27">
        <f>'Заработная плата 2020-21'!M20</f>
        <v>2148176.1184</v>
      </c>
      <c r="L18" s="27">
        <f>'Заработная плата 2020-21'!N20</f>
        <v>648749.1877568</v>
      </c>
      <c r="M18" s="16">
        <f t="shared" si="1"/>
        <v>2796925.3061568</v>
      </c>
      <c r="N18" s="34">
        <f t="shared" si="2"/>
        <v>5924918.3061568</v>
      </c>
      <c r="O18" s="16">
        <v>295</v>
      </c>
      <c r="P18" s="16">
        <v>0</v>
      </c>
      <c r="Q18" s="16">
        <f t="shared" si="3"/>
        <v>295</v>
      </c>
      <c r="R18" s="37">
        <f t="shared" si="5"/>
        <v>20084.46883442983</v>
      </c>
      <c r="S18" s="23">
        <f t="shared" si="4"/>
        <v>7663.105084745763</v>
      </c>
    </row>
    <row r="19" spans="1:19" ht="12.75">
      <c r="A19" s="14">
        <v>15</v>
      </c>
      <c r="B19" s="4" t="s">
        <v>1</v>
      </c>
      <c r="C19" s="17">
        <f aca="true" t="shared" si="6" ref="C19:Q19">SUM(C4:C18)</f>
        <v>16115997</v>
      </c>
      <c r="D19" s="17">
        <f t="shared" si="6"/>
        <v>2216639</v>
      </c>
      <c r="E19" s="17">
        <f t="shared" si="6"/>
        <v>153424</v>
      </c>
      <c r="F19" s="17">
        <f t="shared" si="6"/>
        <v>2086465</v>
      </c>
      <c r="G19" s="17">
        <f t="shared" si="6"/>
        <v>2142857</v>
      </c>
      <c r="H19" s="17">
        <f t="shared" si="6"/>
        <v>26000</v>
      </c>
      <c r="I19" s="17">
        <f t="shared" si="6"/>
        <v>4883315</v>
      </c>
      <c r="J19" s="17">
        <f t="shared" si="6"/>
        <v>1836600</v>
      </c>
      <c r="K19" s="17">
        <f t="shared" si="6"/>
        <v>22095938.619200006</v>
      </c>
      <c r="L19" s="17">
        <f t="shared" si="6"/>
        <v>6673008.320319202</v>
      </c>
      <c r="M19" s="17">
        <f t="shared" si="6"/>
        <v>28768946.939519208</v>
      </c>
      <c r="N19" s="17">
        <f t="shared" si="6"/>
        <v>58230243.9395192</v>
      </c>
      <c r="O19" s="17">
        <f t="shared" si="6"/>
        <v>2710</v>
      </c>
      <c r="P19" s="17">
        <f t="shared" si="6"/>
        <v>285</v>
      </c>
      <c r="Q19" s="17">
        <f t="shared" si="6"/>
        <v>2995</v>
      </c>
      <c r="R19" s="58">
        <f t="shared" si="5"/>
        <v>19442.485455599064</v>
      </c>
      <c r="S19" s="74">
        <f t="shared" si="4"/>
        <v>6121.080467445743</v>
      </c>
    </row>
    <row r="20" spans="1:19" ht="12.75">
      <c r="A20" s="2">
        <v>1</v>
      </c>
      <c r="B20" s="2" t="s">
        <v>25</v>
      </c>
      <c r="C20" s="16">
        <v>1297670</v>
      </c>
      <c r="D20" s="16">
        <v>80083</v>
      </c>
      <c r="E20" s="16">
        <v>3956</v>
      </c>
      <c r="F20" s="16">
        <v>91566</v>
      </c>
      <c r="G20" s="16">
        <v>81300</v>
      </c>
      <c r="H20" s="16"/>
      <c r="I20" s="16">
        <v>43070</v>
      </c>
      <c r="J20" s="16">
        <v>135434</v>
      </c>
      <c r="K20" s="27">
        <f>'Заработная плата 2020-21'!M22</f>
        <v>3989735.0968000004</v>
      </c>
      <c r="L20" s="27">
        <f>'Заработная плата 2020-21'!N22</f>
        <v>1204899.9992336</v>
      </c>
      <c r="M20" s="16">
        <f aca="true" t="shared" si="7" ref="M20:M25">K20+L20</f>
        <v>5194635.0960336</v>
      </c>
      <c r="N20" s="34">
        <f t="shared" si="2"/>
        <v>6927714.0960336</v>
      </c>
      <c r="O20" s="16">
        <v>215</v>
      </c>
      <c r="P20" s="16"/>
      <c r="Q20" s="16">
        <f aca="true" t="shared" si="8" ref="Q20:Q25">O20+P20</f>
        <v>215</v>
      </c>
      <c r="R20" s="37">
        <f t="shared" si="5"/>
        <v>32221.926028063255</v>
      </c>
      <c r="S20" s="23">
        <f t="shared" si="4"/>
        <v>6408.153488372093</v>
      </c>
    </row>
    <row r="21" spans="1:19" ht="12.75">
      <c r="A21" s="2">
        <f>SUM(A20+1)</f>
        <v>2</v>
      </c>
      <c r="B21" s="2" t="s">
        <v>26</v>
      </c>
      <c r="C21" s="16">
        <v>1161885</v>
      </c>
      <c r="D21" s="16">
        <v>80083</v>
      </c>
      <c r="E21" s="16">
        <v>5041</v>
      </c>
      <c r="F21" s="16">
        <v>5800</v>
      </c>
      <c r="G21" s="16">
        <v>82204</v>
      </c>
      <c r="H21" s="16"/>
      <c r="I21" s="16">
        <v>93000</v>
      </c>
      <c r="J21" s="16">
        <v>135434</v>
      </c>
      <c r="K21" s="27">
        <f>'Заработная плата 2020-21'!M23</f>
        <v>3544650.7156</v>
      </c>
      <c r="L21" s="27">
        <f>'Заработная плата 2020-21'!N23</f>
        <v>1070484.5161112</v>
      </c>
      <c r="M21" s="16">
        <f t="shared" si="7"/>
        <v>4615135.2317112</v>
      </c>
      <c r="N21" s="34">
        <f t="shared" si="2"/>
        <v>6178582.2317112</v>
      </c>
      <c r="O21" s="16">
        <v>194</v>
      </c>
      <c r="P21" s="16"/>
      <c r="Q21" s="16">
        <f t="shared" si="8"/>
        <v>194</v>
      </c>
      <c r="R21" s="37">
        <f t="shared" si="5"/>
        <v>31848.362019129898</v>
      </c>
      <c r="S21" s="23">
        <f t="shared" si="4"/>
        <v>6401.896907216495</v>
      </c>
    </row>
    <row r="22" spans="1:19" ht="12.75">
      <c r="A22" s="2">
        <f>SUM(A21+1)</f>
        <v>3</v>
      </c>
      <c r="B22" s="2" t="s">
        <v>27</v>
      </c>
      <c r="C22" s="16">
        <v>1290207</v>
      </c>
      <c r="D22" s="16">
        <v>75903</v>
      </c>
      <c r="E22" s="16">
        <v>4232</v>
      </c>
      <c r="F22" s="16">
        <v>5092</v>
      </c>
      <c r="G22" s="16">
        <v>70452</v>
      </c>
      <c r="H22" s="16"/>
      <c r="I22" s="16">
        <v>73000</v>
      </c>
      <c r="J22" s="16">
        <v>135433</v>
      </c>
      <c r="K22" s="27">
        <f>'Заработная плата 2020-21'!M24</f>
        <v>2932186.4380000005</v>
      </c>
      <c r="L22" s="27">
        <f>'Заработная плата 2020-21'!N24</f>
        <v>885520.3042760001</v>
      </c>
      <c r="M22" s="16">
        <f t="shared" si="7"/>
        <v>3817706.742276001</v>
      </c>
      <c r="N22" s="34">
        <f t="shared" si="2"/>
        <v>5472025.742276001</v>
      </c>
      <c r="O22" s="16">
        <v>148</v>
      </c>
      <c r="P22" s="16"/>
      <c r="Q22" s="16">
        <f t="shared" si="8"/>
        <v>148</v>
      </c>
      <c r="R22" s="37">
        <f t="shared" si="5"/>
        <v>36973.146907270275</v>
      </c>
      <c r="S22" s="23">
        <f t="shared" si="4"/>
        <v>9230.472972972973</v>
      </c>
    </row>
    <row r="23" spans="1:19" ht="12.75">
      <c r="A23" s="2">
        <f>SUM(A22+1)</f>
        <v>4</v>
      </c>
      <c r="B23" s="2" t="s">
        <v>40</v>
      </c>
      <c r="C23" s="16">
        <v>1022229</v>
      </c>
      <c r="D23" s="16">
        <v>85585</v>
      </c>
      <c r="E23" s="16">
        <v>4019</v>
      </c>
      <c r="F23" s="16">
        <v>40704</v>
      </c>
      <c r="G23" s="16">
        <v>69548</v>
      </c>
      <c r="H23" s="16"/>
      <c r="I23" s="16">
        <v>153000</v>
      </c>
      <c r="J23" s="16">
        <v>135433</v>
      </c>
      <c r="K23" s="27">
        <f>'Заработная плата 2020-21'!M25</f>
        <v>2588724.8724</v>
      </c>
      <c r="L23" s="27">
        <f>'Заработная плата 2020-21'!N25</f>
        <v>781794.9114648</v>
      </c>
      <c r="M23" s="16">
        <f t="shared" si="7"/>
        <v>3370519.7838648004</v>
      </c>
      <c r="N23" s="34">
        <f t="shared" si="2"/>
        <v>4881037.7838648</v>
      </c>
      <c r="O23" s="16">
        <v>93</v>
      </c>
      <c r="P23" s="16"/>
      <c r="Q23" s="16">
        <f t="shared" si="8"/>
        <v>93</v>
      </c>
      <c r="R23" s="37">
        <f t="shared" si="5"/>
        <v>52484.277245858066</v>
      </c>
      <c r="S23" s="23">
        <f t="shared" si="4"/>
        <v>11911.978494623656</v>
      </c>
    </row>
    <row r="24" spans="1:19" ht="12.75">
      <c r="A24" s="2">
        <f>SUM(A23+1)</f>
        <v>5</v>
      </c>
      <c r="B24" s="2" t="s">
        <v>42</v>
      </c>
      <c r="C24" s="16">
        <v>857304</v>
      </c>
      <c r="D24" s="16">
        <v>137000</v>
      </c>
      <c r="E24" s="16">
        <v>10560</v>
      </c>
      <c r="F24" s="16">
        <v>395683</v>
      </c>
      <c r="G24" s="16">
        <v>84204</v>
      </c>
      <c r="H24" s="16"/>
      <c r="I24" s="16">
        <v>52523</v>
      </c>
      <c r="J24" s="16">
        <v>135433</v>
      </c>
      <c r="K24" s="27">
        <f>'Заработная плата 2020-21'!M26</f>
        <v>4181749.4308000007</v>
      </c>
      <c r="L24" s="27">
        <f>'Заработная плата 2020-21'!N26</f>
        <v>1262889</v>
      </c>
      <c r="M24" s="16">
        <f t="shared" si="7"/>
        <v>5444638.4308</v>
      </c>
      <c r="N24" s="34">
        <f t="shared" si="2"/>
        <v>7117345.4308</v>
      </c>
      <c r="O24" s="16">
        <v>200</v>
      </c>
      <c r="P24" s="16"/>
      <c r="Q24" s="16">
        <f t="shared" si="8"/>
        <v>200</v>
      </c>
      <c r="R24" s="37">
        <f t="shared" si="5"/>
        <v>35586.727154</v>
      </c>
      <c r="S24" s="23">
        <f t="shared" si="4"/>
        <v>4971.52</v>
      </c>
    </row>
    <row r="25" spans="1:19" ht="12.75">
      <c r="A25" s="2">
        <f>SUM(A24+1)</f>
        <v>6</v>
      </c>
      <c r="B25" s="2" t="s">
        <v>32</v>
      </c>
      <c r="C25" s="16">
        <v>163297</v>
      </c>
      <c r="D25" s="16">
        <v>35700</v>
      </c>
      <c r="E25" s="16">
        <v>3370</v>
      </c>
      <c r="F25" s="16">
        <v>7848</v>
      </c>
      <c r="G25" s="16">
        <v>27700</v>
      </c>
      <c r="H25" s="16"/>
      <c r="I25" s="16">
        <v>17859</v>
      </c>
      <c r="J25" s="16">
        <v>135433</v>
      </c>
      <c r="K25" s="27">
        <f>'Заработная плата 2020-21'!M27</f>
        <v>771647.98</v>
      </c>
      <c r="L25" s="27">
        <f>'Заработная плата 2020-21'!N27</f>
        <v>233037.68996</v>
      </c>
      <c r="M25" s="16">
        <f t="shared" si="7"/>
        <v>1004685.66996</v>
      </c>
      <c r="N25" s="34">
        <f t="shared" si="2"/>
        <v>1395892.66996</v>
      </c>
      <c r="O25" s="16">
        <v>36</v>
      </c>
      <c r="P25" s="16"/>
      <c r="Q25" s="16">
        <f t="shared" si="8"/>
        <v>36</v>
      </c>
      <c r="R25" s="37">
        <f t="shared" si="5"/>
        <v>38774.79638777778</v>
      </c>
      <c r="S25" s="23">
        <f t="shared" si="4"/>
        <v>5527.694444444444</v>
      </c>
    </row>
    <row r="26" spans="1:19" ht="12.75">
      <c r="A26" s="14">
        <v>6</v>
      </c>
      <c r="B26" s="4" t="s">
        <v>1</v>
      </c>
      <c r="C26" s="17">
        <f aca="true" t="shared" si="9" ref="C26:Q26">SUM(C20:C25)</f>
        <v>5792592</v>
      </c>
      <c r="D26" s="17">
        <f t="shared" si="9"/>
        <v>494354</v>
      </c>
      <c r="E26" s="17">
        <f t="shared" si="9"/>
        <v>31178</v>
      </c>
      <c r="F26" s="17">
        <f t="shared" si="9"/>
        <v>546693</v>
      </c>
      <c r="G26" s="17">
        <f t="shared" si="9"/>
        <v>415408</v>
      </c>
      <c r="H26" s="17">
        <f t="shared" si="9"/>
        <v>0</v>
      </c>
      <c r="I26" s="17">
        <f t="shared" si="9"/>
        <v>432452</v>
      </c>
      <c r="J26" s="17">
        <f t="shared" si="9"/>
        <v>812600</v>
      </c>
      <c r="K26" s="17">
        <f t="shared" si="9"/>
        <v>18008694.533600003</v>
      </c>
      <c r="L26" s="17">
        <f t="shared" si="9"/>
        <v>5438626.4210456</v>
      </c>
      <c r="M26" s="17">
        <f t="shared" si="9"/>
        <v>23447320.954645604</v>
      </c>
      <c r="N26" s="17">
        <f t="shared" si="9"/>
        <v>31972597.954645604</v>
      </c>
      <c r="O26" s="17">
        <f t="shared" si="9"/>
        <v>886</v>
      </c>
      <c r="P26" s="17">
        <f t="shared" si="9"/>
        <v>0</v>
      </c>
      <c r="Q26" s="17">
        <f t="shared" si="9"/>
        <v>886</v>
      </c>
      <c r="R26" s="58">
        <f t="shared" si="5"/>
        <v>36086.4536734149</v>
      </c>
      <c r="S26" s="74">
        <f t="shared" si="4"/>
        <v>7095.875846501129</v>
      </c>
    </row>
    <row r="27" spans="1:19" ht="12.75">
      <c r="A27" s="2">
        <v>1</v>
      </c>
      <c r="B27" s="39" t="s">
        <v>35</v>
      </c>
      <c r="C27" s="45">
        <v>161255</v>
      </c>
      <c r="D27" s="45">
        <v>25000</v>
      </c>
      <c r="E27" s="45">
        <v>15000</v>
      </c>
      <c r="F27" s="45"/>
      <c r="G27" s="45">
        <v>45000</v>
      </c>
      <c r="H27" s="45"/>
      <c r="I27" s="45">
        <v>6000</v>
      </c>
      <c r="J27" s="45"/>
      <c r="K27" s="45">
        <f>'Заработная плата 2020-21'!M29</f>
        <v>648662</v>
      </c>
      <c r="L27" s="45">
        <f>'Заработная плата 2020-21'!N29</f>
        <v>195895.924</v>
      </c>
      <c r="M27" s="16">
        <f>K27+L27</f>
        <v>844557.924</v>
      </c>
      <c r="N27" s="34">
        <f t="shared" si="2"/>
        <v>1096812.924</v>
      </c>
      <c r="O27" s="16">
        <v>1216</v>
      </c>
      <c r="P27" s="16"/>
      <c r="Q27" s="16">
        <f>O27+P27</f>
        <v>1216</v>
      </c>
      <c r="R27" s="37">
        <f t="shared" si="5"/>
        <v>901.9843125000001</v>
      </c>
      <c r="S27" s="23">
        <f t="shared" si="4"/>
        <v>153.1702302631579</v>
      </c>
    </row>
    <row r="28" spans="1:19" ht="12.75">
      <c r="A28" s="2">
        <v>2</v>
      </c>
      <c r="B28" s="41" t="s">
        <v>38</v>
      </c>
      <c r="C28" s="45">
        <v>2419354</v>
      </c>
      <c r="D28" s="45">
        <v>113700</v>
      </c>
      <c r="E28" s="45"/>
      <c r="F28" s="45">
        <v>7124</v>
      </c>
      <c r="G28" s="45">
        <v>40404</v>
      </c>
      <c r="H28" s="45"/>
      <c r="I28" s="45"/>
      <c r="J28" s="45"/>
      <c r="K28" s="45">
        <f>'Заработная плата 2020-21'!M31</f>
        <v>4805280</v>
      </c>
      <c r="L28" s="45">
        <f>'Заработная плата 2020-21'!N31</f>
        <v>1451194.56</v>
      </c>
      <c r="M28" s="16">
        <f>K28+L28</f>
        <v>6256474.5600000005</v>
      </c>
      <c r="N28" s="34">
        <f t="shared" si="2"/>
        <v>8837056.56</v>
      </c>
      <c r="O28" s="16">
        <v>1135</v>
      </c>
      <c r="P28" s="16"/>
      <c r="Q28" s="16">
        <f>O28+P28</f>
        <v>1135</v>
      </c>
      <c r="R28" s="37">
        <f t="shared" si="5"/>
        <v>7785.95291629956</v>
      </c>
      <c r="S28" s="23">
        <f t="shared" si="4"/>
        <v>2231.7656387665197</v>
      </c>
    </row>
    <row r="29" spans="1:19" ht="12.75">
      <c r="A29" s="2">
        <v>3</v>
      </c>
      <c r="B29" s="40" t="s">
        <v>39</v>
      </c>
      <c r="C29" s="45">
        <v>437914</v>
      </c>
      <c r="D29" s="45">
        <v>20000</v>
      </c>
      <c r="E29" s="45">
        <v>12517</v>
      </c>
      <c r="F29" s="45">
        <v>93405</v>
      </c>
      <c r="G29" s="45">
        <v>30000</v>
      </c>
      <c r="H29" s="45"/>
      <c r="I29" s="45">
        <v>3000</v>
      </c>
      <c r="J29" s="45"/>
      <c r="K29" s="45">
        <f>'Заработная плата 2020-21'!M32</f>
        <v>1513248</v>
      </c>
      <c r="L29" s="45">
        <f>'Заработная плата 2020-21'!N32</f>
        <v>457000</v>
      </c>
      <c r="M29" s="16">
        <f>K29+L29</f>
        <v>1970248</v>
      </c>
      <c r="N29" s="34">
        <f t="shared" si="2"/>
        <v>2567084</v>
      </c>
      <c r="O29" s="16">
        <v>271</v>
      </c>
      <c r="P29" s="55"/>
      <c r="Q29" s="16">
        <f>O29+P29</f>
        <v>271</v>
      </c>
      <c r="R29" s="37">
        <f t="shared" si="5"/>
        <v>9472.634686346864</v>
      </c>
      <c r="S29" s="23">
        <f t="shared" si="4"/>
        <v>1689.719557195572</v>
      </c>
    </row>
    <row r="30" spans="1:19" ht="12.75">
      <c r="A30" s="14">
        <v>3</v>
      </c>
      <c r="B30" s="4" t="s">
        <v>1</v>
      </c>
      <c r="C30" s="28">
        <f aca="true" t="shared" si="10" ref="C30:Q30">SUM(C27:C29)</f>
        <v>3018523</v>
      </c>
      <c r="D30" s="28">
        <f t="shared" si="10"/>
        <v>158700</v>
      </c>
      <c r="E30" s="28">
        <f t="shared" si="10"/>
        <v>27517</v>
      </c>
      <c r="F30" s="28">
        <f t="shared" si="10"/>
        <v>100529</v>
      </c>
      <c r="G30" s="28">
        <f t="shared" si="10"/>
        <v>115404</v>
      </c>
      <c r="H30" s="28">
        <f t="shared" si="10"/>
        <v>0</v>
      </c>
      <c r="I30" s="28">
        <f t="shared" si="10"/>
        <v>9000</v>
      </c>
      <c r="J30" s="28">
        <f t="shared" si="10"/>
        <v>0</v>
      </c>
      <c r="K30" s="28">
        <f t="shared" si="10"/>
        <v>6967190</v>
      </c>
      <c r="L30" s="28">
        <f t="shared" si="10"/>
        <v>2104090.484</v>
      </c>
      <c r="M30" s="28">
        <f t="shared" si="10"/>
        <v>9071280.484000001</v>
      </c>
      <c r="N30" s="28">
        <f t="shared" si="10"/>
        <v>12500953.484000001</v>
      </c>
      <c r="O30" s="28">
        <f t="shared" si="10"/>
        <v>2622</v>
      </c>
      <c r="P30" s="28">
        <f t="shared" si="10"/>
        <v>0</v>
      </c>
      <c r="Q30" s="28">
        <f t="shared" si="10"/>
        <v>2622</v>
      </c>
      <c r="R30" s="58">
        <f t="shared" si="5"/>
        <v>4767.716813119756</v>
      </c>
      <c r="S30" s="74">
        <f t="shared" si="4"/>
        <v>1211.755530129672</v>
      </c>
    </row>
    <row r="31" spans="2:12" ht="12.75">
      <c r="B31" s="11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2:10" ht="13.5">
      <c r="B32" s="59" t="s">
        <v>131</v>
      </c>
      <c r="C32" s="9"/>
      <c r="G32" s="6"/>
      <c r="H32" s="6"/>
      <c r="I32" s="6"/>
      <c r="J32" s="6"/>
    </row>
    <row r="33" spans="2:10" ht="6" customHeight="1">
      <c r="B33" s="59"/>
      <c r="C33" s="9"/>
      <c r="G33" s="6"/>
      <c r="H33" s="6"/>
      <c r="I33" s="6"/>
      <c r="J33" s="6"/>
    </row>
    <row r="34" spans="2:5" ht="12.75">
      <c r="B34" s="65" t="s">
        <v>128</v>
      </c>
      <c r="C34" s="70"/>
      <c r="D34" s="70"/>
      <c r="E34" s="70"/>
    </row>
    <row r="35" spans="2:5" ht="12.75">
      <c r="B35" s="65" t="s">
        <v>129</v>
      </c>
      <c r="C35" s="70"/>
      <c r="D35" s="70"/>
      <c r="E35" s="70"/>
    </row>
    <row r="36" spans="2:5" ht="12.75">
      <c r="B36" s="72" t="s">
        <v>130</v>
      </c>
      <c r="C36" s="70"/>
      <c r="D36" s="70"/>
      <c r="E36" s="70"/>
    </row>
  </sheetData>
  <sheetProtection/>
  <printOptions/>
  <pageMargins left="0.2" right="0.2" top="0.52" bottom="0.49" header="0.5" footer="0.5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">
      <pane xSplit="4" ySplit="5" topLeftCell="I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28" sqref="L28"/>
    </sheetView>
  </sheetViews>
  <sheetFormatPr defaultColWidth="9.00390625" defaultRowHeight="12.75"/>
  <cols>
    <col min="1" max="1" width="3.50390625" style="0" customWidth="1"/>
    <col min="2" max="2" width="28.50390625" style="0" customWidth="1"/>
    <col min="3" max="4" width="10.50390625" style="0" customWidth="1"/>
    <col min="5" max="5" width="11.875" style="0" customWidth="1"/>
    <col min="6" max="6" width="11.50390625" style="0" customWidth="1"/>
    <col min="7" max="7" width="11.875" style="0" customWidth="1"/>
    <col min="8" max="9" width="11.50390625" style="0" customWidth="1"/>
    <col min="10" max="15" width="10.875" style="0" customWidth="1"/>
    <col min="16" max="16" width="6.125" style="0" customWidth="1"/>
    <col min="17" max="17" width="11.125" style="0" customWidth="1"/>
    <col min="18" max="18" width="10.50390625" style="0" customWidth="1"/>
    <col min="19" max="19" width="7.875" style="0" customWidth="1"/>
    <col min="20" max="20" width="8.375" style="0" customWidth="1"/>
    <col min="21" max="21" width="7.375" style="0" customWidth="1"/>
    <col min="22" max="22" width="9.125" style="0" customWidth="1"/>
    <col min="23" max="24" width="7.50390625" style="0" customWidth="1"/>
    <col min="25" max="25" width="8.50390625" style="0" customWidth="1"/>
    <col min="26" max="26" width="8.125" style="0" customWidth="1"/>
    <col min="27" max="27" width="8.50390625" style="0" customWidth="1"/>
    <col min="29" max="29" width="5.625" style="0" customWidth="1"/>
    <col min="30" max="30" width="6.875" style="0" customWidth="1"/>
    <col min="31" max="31" width="5.375" style="0" customWidth="1"/>
    <col min="32" max="32" width="3.00390625" style="0" customWidth="1"/>
    <col min="33" max="33" width="2.875" style="0" customWidth="1"/>
    <col min="34" max="34" width="2.625" style="0" customWidth="1"/>
    <col min="35" max="35" width="7.625" style="0" customWidth="1"/>
  </cols>
  <sheetData>
    <row r="1" spans="2:17" ht="12.75">
      <c r="B1" s="15"/>
      <c r="C1" s="15"/>
      <c r="D1" s="1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2.75">
      <c r="B2" s="86" t="s">
        <v>106</v>
      </c>
      <c r="C2" s="86"/>
      <c r="D2" s="86"/>
      <c r="E2" s="86"/>
      <c r="F2" s="86"/>
      <c r="G2" s="86"/>
      <c r="H2" s="86"/>
      <c r="I2" s="86"/>
      <c r="J2" s="86"/>
      <c r="K2" s="86"/>
      <c r="L2" s="15"/>
      <c r="M2" s="15"/>
      <c r="N2" s="15"/>
      <c r="O2" s="15"/>
      <c r="P2" s="15"/>
      <c r="Q2" s="15"/>
    </row>
    <row r="3" spans="2:17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4" ht="12.75">
      <c r="B4" s="3"/>
      <c r="C4" s="3"/>
      <c r="D4" s="3"/>
      <c r="E4" s="87" t="s">
        <v>46</v>
      </c>
      <c r="F4" s="87"/>
      <c r="G4" s="87"/>
      <c r="H4" s="87"/>
      <c r="I4" s="87"/>
      <c r="J4" s="3"/>
      <c r="K4" s="3"/>
      <c r="L4" s="3"/>
      <c r="M4" s="3"/>
      <c r="N4" s="3"/>
    </row>
    <row r="5" spans="1:22" ht="66" customHeight="1">
      <c r="A5" s="1"/>
      <c r="B5" s="48" t="s">
        <v>0</v>
      </c>
      <c r="C5" s="50" t="s">
        <v>45</v>
      </c>
      <c r="D5" s="50" t="s">
        <v>49</v>
      </c>
      <c r="E5" s="49" t="s">
        <v>86</v>
      </c>
      <c r="F5" s="49" t="s">
        <v>87</v>
      </c>
      <c r="G5" s="49" t="s">
        <v>57</v>
      </c>
      <c r="H5" s="49" t="s">
        <v>44</v>
      </c>
      <c r="I5" s="49" t="s">
        <v>88</v>
      </c>
      <c r="J5" s="7" t="s">
        <v>50</v>
      </c>
      <c r="K5" s="7" t="s">
        <v>51</v>
      </c>
      <c r="L5" s="51" t="s">
        <v>47</v>
      </c>
      <c r="M5" s="7" t="s">
        <v>48</v>
      </c>
      <c r="N5" s="7" t="s">
        <v>52</v>
      </c>
      <c r="O5" s="51" t="s">
        <v>53</v>
      </c>
      <c r="P5" s="32"/>
      <c r="Q5" s="32" t="s">
        <v>54</v>
      </c>
      <c r="R5" s="32" t="s">
        <v>55</v>
      </c>
      <c r="S5" s="7" t="s">
        <v>58</v>
      </c>
      <c r="T5" s="7" t="s">
        <v>60</v>
      </c>
      <c r="U5" s="7" t="s">
        <v>61</v>
      </c>
      <c r="V5" s="44" t="s">
        <v>123</v>
      </c>
    </row>
    <row r="6" spans="1:22" ht="12.75">
      <c r="A6" s="2">
        <v>1</v>
      </c>
      <c r="B6" s="2" t="s">
        <v>7</v>
      </c>
      <c r="C6" s="46">
        <v>4484269</v>
      </c>
      <c r="D6" s="46">
        <v>1354249</v>
      </c>
      <c r="E6" s="16">
        <f>'Заработная плата 2019'!E6*1.0348</f>
        <v>2616060.2884</v>
      </c>
      <c r="F6" s="16">
        <f>'Заработная плата 2019'!F6*1.0348</f>
        <v>326981.278</v>
      </c>
      <c r="G6" s="16">
        <f>'Заработная плата 2019'!G6*1.0348</f>
        <v>326981.278</v>
      </c>
      <c r="H6" s="2"/>
      <c r="I6" s="18">
        <f aca="true" t="shared" si="0" ref="I6:I27">C6-E6-F6</f>
        <v>1541227.4336</v>
      </c>
      <c r="J6" s="45">
        <f>E6+G6</f>
        <v>2943041.5664</v>
      </c>
      <c r="K6" s="45">
        <f>J6*0.302</f>
        <v>888798.5530527999</v>
      </c>
      <c r="L6" s="52">
        <f>J6+K6</f>
        <v>3831840.1194527997</v>
      </c>
      <c r="M6" s="45">
        <f>H6+I6</f>
        <v>1541227.4336</v>
      </c>
      <c r="N6" s="45">
        <f>M6*0.302</f>
        <v>465450.6849472</v>
      </c>
      <c r="O6" s="52">
        <f>M6+N6</f>
        <v>2006678.1185472002</v>
      </c>
      <c r="P6" s="16"/>
      <c r="Q6" s="16">
        <f>J6+M6</f>
        <v>4484269</v>
      </c>
      <c r="R6" s="16">
        <f>K6+N6</f>
        <v>1354249.238</v>
      </c>
      <c r="S6" s="16">
        <v>36</v>
      </c>
      <c r="T6" s="16">
        <v>22</v>
      </c>
      <c r="U6" s="16">
        <f>S6+T6</f>
        <v>58</v>
      </c>
      <c r="V6" s="23">
        <f>(L6+O6)/U6</f>
        <v>100664.10755172414</v>
      </c>
    </row>
    <row r="7" spans="1:22" ht="12.75">
      <c r="A7" s="2">
        <f aca="true" t="shared" si="1" ref="A7:A20">SUM(A6+1)</f>
        <v>2</v>
      </c>
      <c r="B7" s="5" t="s">
        <v>8</v>
      </c>
      <c r="C7" s="46">
        <v>3975963</v>
      </c>
      <c r="D7" s="46">
        <v>1200741</v>
      </c>
      <c r="E7" s="16">
        <f>'Заработная плата 2019'!E7*1.0348</f>
        <v>2828289.4899999998</v>
      </c>
      <c r="F7" s="16">
        <f>'Заработная плата 2019'!F7*1.0348</f>
        <v>346560.7288</v>
      </c>
      <c r="G7" s="16">
        <f>'Заработная плата 2019'!G7*1.0348</f>
        <v>346560.7288</v>
      </c>
      <c r="H7" s="5"/>
      <c r="I7" s="18">
        <f t="shared" si="0"/>
        <v>801112.7812000003</v>
      </c>
      <c r="J7" s="45">
        <f aca="true" t="shared" si="2" ref="J7:J27">E7+G7</f>
        <v>3174850.2188</v>
      </c>
      <c r="K7" s="45">
        <f aca="true" t="shared" si="3" ref="K7:K27">J7*0.302</f>
        <v>958804.7660776</v>
      </c>
      <c r="L7" s="52">
        <f aca="true" t="shared" si="4" ref="L7:L27">J7+K7</f>
        <v>4133654.9848776</v>
      </c>
      <c r="M7" s="45">
        <f aca="true" t="shared" si="5" ref="M7:M27">H7+I7</f>
        <v>801112.7812000003</v>
      </c>
      <c r="N7" s="45">
        <f aca="true" t="shared" si="6" ref="N7:N20">M7*0.302</f>
        <v>241936.05992240008</v>
      </c>
      <c r="O7" s="52">
        <f aca="true" t="shared" si="7" ref="O7:O27">M7+N7</f>
        <v>1043048.8411224004</v>
      </c>
      <c r="P7" s="16"/>
      <c r="Q7" s="16">
        <f aca="true" t="shared" si="8" ref="Q7:R27">J7+M7</f>
        <v>3975963</v>
      </c>
      <c r="R7" s="16">
        <f t="shared" si="8"/>
        <v>1200740.8260000001</v>
      </c>
      <c r="S7" s="16">
        <v>70</v>
      </c>
      <c r="T7" s="16">
        <v>0</v>
      </c>
      <c r="U7" s="16">
        <f aca="true" t="shared" si="9" ref="U7:U20">S7+T7</f>
        <v>70</v>
      </c>
      <c r="V7" s="23">
        <f aca="true" t="shared" si="10" ref="V7:V32">(L7+O7)/U7</f>
        <v>73952.9118</v>
      </c>
    </row>
    <row r="8" spans="1:22" ht="12.75">
      <c r="A8" s="2">
        <f t="shared" si="1"/>
        <v>3</v>
      </c>
      <c r="B8" s="5" t="s">
        <v>9</v>
      </c>
      <c r="C8" s="46">
        <v>4710126</v>
      </c>
      <c r="D8" s="46">
        <v>1422459</v>
      </c>
      <c r="E8" s="16">
        <f>'Заработная плата 2019'!E8*1.0348</f>
        <v>3060307.172</v>
      </c>
      <c r="F8" s="16">
        <f>'Заработная плата 2019'!F8*1.0348</f>
        <v>514815.0696</v>
      </c>
      <c r="G8" s="16">
        <f>'Заработная плата 2019'!G8*1.0348</f>
        <v>514815.0696</v>
      </c>
      <c r="H8" s="5"/>
      <c r="I8" s="18">
        <f t="shared" si="0"/>
        <v>1135003.7584000002</v>
      </c>
      <c r="J8" s="45">
        <f t="shared" si="2"/>
        <v>3575122.2416</v>
      </c>
      <c r="K8" s="45">
        <f t="shared" si="3"/>
        <v>1079686.9169631999</v>
      </c>
      <c r="L8" s="52">
        <f t="shared" si="4"/>
        <v>4654809.158563199</v>
      </c>
      <c r="M8" s="45">
        <f t="shared" si="5"/>
        <v>1135003.7584000002</v>
      </c>
      <c r="N8" s="45">
        <f t="shared" si="6"/>
        <v>342771.13503680006</v>
      </c>
      <c r="O8" s="52">
        <f t="shared" si="7"/>
        <v>1477774.8934368002</v>
      </c>
      <c r="P8" s="16"/>
      <c r="Q8" s="16">
        <f t="shared" si="8"/>
        <v>4710126</v>
      </c>
      <c r="R8" s="16">
        <f t="shared" si="8"/>
        <v>1422458.052</v>
      </c>
      <c r="S8" s="16">
        <v>73</v>
      </c>
      <c r="T8" s="16">
        <v>34</v>
      </c>
      <c r="U8" s="16">
        <f t="shared" si="9"/>
        <v>107</v>
      </c>
      <c r="V8" s="23">
        <f t="shared" si="10"/>
        <v>57313.869644859806</v>
      </c>
    </row>
    <row r="9" spans="1:22" ht="12.75">
      <c r="A9" s="2">
        <f t="shared" si="1"/>
        <v>4</v>
      </c>
      <c r="B9" s="5" t="s">
        <v>10</v>
      </c>
      <c r="C9" s="46">
        <v>5202411</v>
      </c>
      <c r="D9" s="46">
        <v>1571128</v>
      </c>
      <c r="E9" s="16">
        <f>'Заработная плата 2019'!E9*1.0348</f>
        <v>3927756.2115999996</v>
      </c>
      <c r="F9" s="16">
        <f>'Заработная плата 2019'!F9*1.0348</f>
        <v>350853.0792</v>
      </c>
      <c r="G9" s="16">
        <f>'Заработная плата 2019'!G9*1.0348</f>
        <v>350853.0792</v>
      </c>
      <c r="H9" s="5"/>
      <c r="I9" s="18">
        <f t="shared" si="0"/>
        <v>923801.7092000004</v>
      </c>
      <c r="J9" s="45">
        <f t="shared" si="2"/>
        <v>4278609.2908</v>
      </c>
      <c r="K9" s="45">
        <f t="shared" si="3"/>
        <v>1292140.0058215999</v>
      </c>
      <c r="L9" s="52">
        <f t="shared" si="4"/>
        <v>5570749.296621599</v>
      </c>
      <c r="M9" s="45">
        <f t="shared" si="5"/>
        <v>923801.7092000004</v>
      </c>
      <c r="N9" s="45">
        <f t="shared" si="6"/>
        <v>278988.1161784001</v>
      </c>
      <c r="O9" s="52">
        <f t="shared" si="7"/>
        <v>1202789.8253784005</v>
      </c>
      <c r="P9" s="16"/>
      <c r="Q9" s="16">
        <f t="shared" si="8"/>
        <v>5202411</v>
      </c>
      <c r="R9" s="16">
        <f t="shared" si="8"/>
        <v>1571128.122</v>
      </c>
      <c r="S9" s="16">
        <v>87</v>
      </c>
      <c r="T9" s="16">
        <v>15</v>
      </c>
      <c r="U9" s="16">
        <f t="shared" si="9"/>
        <v>102</v>
      </c>
      <c r="V9" s="23">
        <f t="shared" si="10"/>
        <v>66407.24629411765</v>
      </c>
    </row>
    <row r="10" spans="1:22" ht="12.75">
      <c r="A10" s="2">
        <f t="shared" si="1"/>
        <v>5</v>
      </c>
      <c r="B10" s="5" t="s">
        <v>12</v>
      </c>
      <c r="C10" s="46">
        <v>4561706</v>
      </c>
      <c r="D10" s="46">
        <v>1377635</v>
      </c>
      <c r="E10" s="16">
        <f>'Заработная плата 2019'!E10*1.0348</f>
        <v>3459009.4031999996</v>
      </c>
      <c r="F10" s="16">
        <f>'Заработная плата 2019'!F10*1.0348</f>
        <v>295047.35</v>
      </c>
      <c r="G10" s="16">
        <f>'Заработная плата 2019'!G10*1.0348</f>
        <v>295047.35</v>
      </c>
      <c r="H10" s="5"/>
      <c r="I10" s="18">
        <f t="shared" si="0"/>
        <v>807649.2468000004</v>
      </c>
      <c r="J10" s="45">
        <f t="shared" si="2"/>
        <v>3754056.7531999997</v>
      </c>
      <c r="K10" s="45">
        <f t="shared" si="3"/>
        <v>1133725.1394663998</v>
      </c>
      <c r="L10" s="52">
        <f t="shared" si="4"/>
        <v>4887781.8926663995</v>
      </c>
      <c r="M10" s="45">
        <f t="shared" si="5"/>
        <v>807649.2468000004</v>
      </c>
      <c r="N10" s="45">
        <f t="shared" si="6"/>
        <v>243910.07253360012</v>
      </c>
      <c r="O10" s="52">
        <f t="shared" si="7"/>
        <v>1051559.3193336006</v>
      </c>
      <c r="P10" s="16"/>
      <c r="Q10" s="16">
        <f t="shared" si="8"/>
        <v>4561706</v>
      </c>
      <c r="R10" s="16">
        <f t="shared" si="8"/>
        <v>1377635.2119999998</v>
      </c>
      <c r="S10" s="16">
        <v>62</v>
      </c>
      <c r="T10" s="16">
        <v>15</v>
      </c>
      <c r="U10" s="16">
        <f t="shared" si="9"/>
        <v>77</v>
      </c>
      <c r="V10" s="23">
        <f t="shared" si="10"/>
        <v>77134.30145454546</v>
      </c>
    </row>
    <row r="11" spans="1:22" ht="12.75">
      <c r="A11" s="2">
        <f t="shared" si="1"/>
        <v>6</v>
      </c>
      <c r="B11" s="5" t="s">
        <v>14</v>
      </c>
      <c r="C11" s="46">
        <v>7542994</v>
      </c>
      <c r="D11" s="46">
        <v>2277984</v>
      </c>
      <c r="E11" s="16">
        <f>'Заработная плата 2019'!E11*1.0348</f>
        <v>5254527.101199999</v>
      </c>
      <c r="F11" s="16">
        <f>'Заработная плата 2019'!F11*1.0348</f>
        <v>749135.1816</v>
      </c>
      <c r="G11" s="16">
        <f>'Заработная плата 2019'!G11*1.0348</f>
        <v>749135.1816</v>
      </c>
      <c r="H11" s="5"/>
      <c r="I11" s="18">
        <f t="shared" si="0"/>
        <v>1539331.7172000005</v>
      </c>
      <c r="J11" s="45">
        <f t="shared" si="2"/>
        <v>6003662.282799999</v>
      </c>
      <c r="K11" s="45">
        <f t="shared" si="3"/>
        <v>1813106.0094055997</v>
      </c>
      <c r="L11" s="52">
        <f t="shared" si="4"/>
        <v>7816768.292205599</v>
      </c>
      <c r="M11" s="45">
        <f t="shared" si="5"/>
        <v>1539331.7172000005</v>
      </c>
      <c r="N11" s="45">
        <f t="shared" si="6"/>
        <v>464878.1785944002</v>
      </c>
      <c r="O11" s="52">
        <f t="shared" si="7"/>
        <v>2004209.8957944007</v>
      </c>
      <c r="P11" s="16"/>
      <c r="Q11" s="16">
        <f t="shared" si="8"/>
        <v>7542994</v>
      </c>
      <c r="R11" s="16">
        <f t="shared" si="8"/>
        <v>2277984.188</v>
      </c>
      <c r="S11" s="16">
        <v>121</v>
      </c>
      <c r="T11" s="16">
        <v>29</v>
      </c>
      <c r="U11" s="16">
        <f t="shared" si="9"/>
        <v>150</v>
      </c>
      <c r="V11" s="23">
        <f t="shared" si="10"/>
        <v>65473.18792</v>
      </c>
    </row>
    <row r="12" spans="1:22" ht="12.75">
      <c r="A12" s="2">
        <f t="shared" si="1"/>
        <v>7</v>
      </c>
      <c r="B12" s="5" t="s">
        <v>15</v>
      </c>
      <c r="C12" s="46">
        <v>7205648</v>
      </c>
      <c r="D12" s="46">
        <v>2176106</v>
      </c>
      <c r="E12" s="16">
        <f>'Заработная плата 2019'!E12*1.0348</f>
        <v>5589570.506</v>
      </c>
      <c r="F12" s="16">
        <f>'Заработная плата 2019'!F12*1.0348</f>
        <v>784001.7328</v>
      </c>
      <c r="G12" s="16">
        <f>'Заработная плата 2019'!G12*1.0348</f>
        <v>784001.7328</v>
      </c>
      <c r="H12" s="5"/>
      <c r="I12" s="18">
        <f t="shared" si="0"/>
        <v>832075.7612</v>
      </c>
      <c r="J12" s="45">
        <f t="shared" si="2"/>
        <v>6373572.2388</v>
      </c>
      <c r="K12" s="45">
        <f t="shared" si="3"/>
        <v>1924818.8161176</v>
      </c>
      <c r="L12" s="52">
        <f t="shared" si="4"/>
        <v>8298391.0549176</v>
      </c>
      <c r="M12" s="45">
        <f t="shared" si="5"/>
        <v>832075.7612</v>
      </c>
      <c r="N12" s="45">
        <f t="shared" si="6"/>
        <v>251286.87988239998</v>
      </c>
      <c r="O12" s="52">
        <f t="shared" si="7"/>
        <v>1083362.6410824</v>
      </c>
      <c r="P12" s="16"/>
      <c r="Q12" s="16">
        <f t="shared" si="8"/>
        <v>7205648</v>
      </c>
      <c r="R12" s="16">
        <f t="shared" si="8"/>
        <v>2176105.696</v>
      </c>
      <c r="S12" s="16">
        <v>177</v>
      </c>
      <c r="T12" s="16">
        <v>21</v>
      </c>
      <c r="U12" s="16">
        <f t="shared" si="9"/>
        <v>198</v>
      </c>
      <c r="V12" s="23">
        <f t="shared" si="10"/>
        <v>47382.59442424242</v>
      </c>
    </row>
    <row r="13" spans="1:22" ht="12.75">
      <c r="A13" s="2">
        <f t="shared" si="1"/>
        <v>8</v>
      </c>
      <c r="B13" s="5" t="s">
        <v>17</v>
      </c>
      <c r="C13" s="46">
        <v>4323935</v>
      </c>
      <c r="D13" s="46">
        <v>1305828</v>
      </c>
      <c r="E13" s="16">
        <f>'Заработная плата 2019'!E13*1.0348</f>
        <v>2970055.0204</v>
      </c>
      <c r="F13" s="16">
        <f>'Заработная плата 2019'!F13*1.0348</f>
        <v>418385.16199999995</v>
      </c>
      <c r="G13" s="16">
        <f>'Заработная плата 2019'!G13*1.0348</f>
        <v>418385.16199999995</v>
      </c>
      <c r="H13" s="5"/>
      <c r="I13" s="18">
        <f t="shared" si="0"/>
        <v>935494.8176000002</v>
      </c>
      <c r="J13" s="45">
        <f t="shared" si="2"/>
        <v>3388440.1824</v>
      </c>
      <c r="K13" s="45">
        <f t="shared" si="3"/>
        <v>1023308.9350847999</v>
      </c>
      <c r="L13" s="52">
        <f t="shared" si="4"/>
        <v>4411749.1174848</v>
      </c>
      <c r="M13" s="45">
        <f t="shared" si="5"/>
        <v>935494.8176000002</v>
      </c>
      <c r="N13" s="45">
        <f t="shared" si="6"/>
        <v>282519.43491520005</v>
      </c>
      <c r="O13" s="52">
        <f t="shared" si="7"/>
        <v>1218014.2525152003</v>
      </c>
      <c r="P13" s="16"/>
      <c r="Q13" s="16">
        <f t="shared" si="8"/>
        <v>4323935</v>
      </c>
      <c r="R13" s="16">
        <f t="shared" si="8"/>
        <v>1305828.3699999999</v>
      </c>
      <c r="S13" s="16">
        <v>69</v>
      </c>
      <c r="T13" s="16">
        <v>20</v>
      </c>
      <c r="U13" s="16">
        <f t="shared" si="9"/>
        <v>89</v>
      </c>
      <c r="V13" s="23">
        <f t="shared" si="10"/>
        <v>63255.76820224719</v>
      </c>
    </row>
    <row r="14" spans="1:22" ht="12.75">
      <c r="A14" s="2">
        <f t="shared" si="1"/>
        <v>9</v>
      </c>
      <c r="B14" s="5" t="s">
        <v>18</v>
      </c>
      <c r="C14" s="46">
        <v>8536928</v>
      </c>
      <c r="D14" s="46">
        <v>2578153</v>
      </c>
      <c r="E14" s="16">
        <f>'Заработная плата 2019'!E14*1.0348</f>
        <v>6391057.2544</v>
      </c>
      <c r="F14" s="16">
        <f>'Заработная плата 2019'!F14*1.0348</f>
        <v>695738.4667999999</v>
      </c>
      <c r="G14" s="16">
        <f>'Заработная плата 2019'!G14*1.0348</f>
        <v>695738.4667999999</v>
      </c>
      <c r="H14" s="5"/>
      <c r="I14" s="18">
        <f t="shared" si="0"/>
        <v>1450132.2788</v>
      </c>
      <c r="J14" s="45">
        <f t="shared" si="2"/>
        <v>7086795.7212</v>
      </c>
      <c r="K14" s="45">
        <f t="shared" si="3"/>
        <v>2140212.3078023996</v>
      </c>
      <c r="L14" s="52">
        <f t="shared" si="4"/>
        <v>9227008.029002398</v>
      </c>
      <c r="M14" s="45">
        <f t="shared" si="5"/>
        <v>1450132.2788</v>
      </c>
      <c r="N14" s="45">
        <f t="shared" si="6"/>
        <v>437939.94819759997</v>
      </c>
      <c r="O14" s="52">
        <f t="shared" si="7"/>
        <v>1888072.2269976</v>
      </c>
      <c r="P14" s="16"/>
      <c r="Q14" s="16">
        <f t="shared" si="8"/>
        <v>8536928</v>
      </c>
      <c r="R14" s="16">
        <f t="shared" si="8"/>
        <v>2578152.2559999996</v>
      </c>
      <c r="S14" s="16">
        <v>125</v>
      </c>
      <c r="T14" s="16">
        <v>37</v>
      </c>
      <c r="U14" s="16">
        <f t="shared" si="9"/>
        <v>162</v>
      </c>
      <c r="V14" s="23">
        <f t="shared" si="10"/>
        <v>68611.6065185185</v>
      </c>
    </row>
    <row r="15" spans="1:22" ht="12.75">
      <c r="A15" s="2">
        <f t="shared" si="1"/>
        <v>10</v>
      </c>
      <c r="B15" s="64" t="s">
        <v>19</v>
      </c>
      <c r="C15" s="46">
        <v>6761875</v>
      </c>
      <c r="D15" s="46">
        <v>2042085</v>
      </c>
      <c r="E15" s="16">
        <f>'Заработная плата 2019'!E15*1.0348</f>
        <v>4384880.1464</v>
      </c>
      <c r="F15" s="16">
        <f>'Заработная плата 2019'!F15*1.0348</f>
        <v>803475.634</v>
      </c>
      <c r="G15" s="16">
        <f>'Заработная плата 2019'!G15*1.0348</f>
        <v>803475.634</v>
      </c>
      <c r="H15" s="5"/>
      <c r="I15" s="18">
        <f t="shared" si="0"/>
        <v>1573519.2196</v>
      </c>
      <c r="J15" s="45">
        <f t="shared" si="2"/>
        <v>5188355.7804</v>
      </c>
      <c r="K15" s="45">
        <f t="shared" si="3"/>
        <v>1566883.4456808</v>
      </c>
      <c r="L15" s="52">
        <f t="shared" si="4"/>
        <v>6755239.2260807995</v>
      </c>
      <c r="M15" s="45">
        <f t="shared" si="5"/>
        <v>1573519.2196</v>
      </c>
      <c r="N15" s="45">
        <f t="shared" si="6"/>
        <v>475202.8043192</v>
      </c>
      <c r="O15" s="52">
        <f t="shared" si="7"/>
        <v>2048722.0239192</v>
      </c>
      <c r="P15" s="16"/>
      <c r="Q15" s="16">
        <f t="shared" si="8"/>
        <v>6761875</v>
      </c>
      <c r="R15" s="16">
        <f t="shared" si="8"/>
        <v>2042086.25</v>
      </c>
      <c r="S15" s="16">
        <v>108</v>
      </c>
      <c r="T15" s="16">
        <v>28</v>
      </c>
      <c r="U15" s="16">
        <f t="shared" si="9"/>
        <v>136</v>
      </c>
      <c r="V15" s="23">
        <f t="shared" si="10"/>
        <v>64735.00919117647</v>
      </c>
    </row>
    <row r="16" spans="1:22" ht="12.75">
      <c r="A16" s="2">
        <f t="shared" si="1"/>
        <v>11</v>
      </c>
      <c r="B16" s="5" t="s">
        <v>20</v>
      </c>
      <c r="C16" s="46">
        <v>4076195</v>
      </c>
      <c r="D16" s="46">
        <v>1231010</v>
      </c>
      <c r="E16" s="16">
        <f>'Заработная плата 2019'!E16*1.0348</f>
        <v>2890482.0047999998</v>
      </c>
      <c r="F16" s="16">
        <f>'Заработная плата 2019'!F16*1.0348</f>
        <v>410412.028</v>
      </c>
      <c r="G16" s="16">
        <f>'Заработная плата 2019'!G16*1.0348</f>
        <v>410412.028</v>
      </c>
      <c r="H16" s="5"/>
      <c r="I16" s="18">
        <f t="shared" si="0"/>
        <v>775300.9672000003</v>
      </c>
      <c r="J16" s="45">
        <f t="shared" si="2"/>
        <v>3300894.0327999997</v>
      </c>
      <c r="K16" s="45">
        <f t="shared" si="3"/>
        <v>996869.9979055999</v>
      </c>
      <c r="L16" s="52">
        <f t="shared" si="4"/>
        <v>4297764.030705599</v>
      </c>
      <c r="M16" s="45">
        <f t="shared" si="5"/>
        <v>775300.9672000003</v>
      </c>
      <c r="N16" s="45">
        <f t="shared" si="6"/>
        <v>234140.89209440007</v>
      </c>
      <c r="O16" s="52">
        <f t="shared" si="7"/>
        <v>1009441.8592944003</v>
      </c>
      <c r="P16" s="16"/>
      <c r="Q16" s="16">
        <f t="shared" si="8"/>
        <v>4076195</v>
      </c>
      <c r="R16" s="16">
        <f t="shared" si="8"/>
        <v>1231010.89</v>
      </c>
      <c r="S16" s="16">
        <v>43</v>
      </c>
      <c r="T16" s="16">
        <v>13</v>
      </c>
      <c r="U16" s="16">
        <f t="shared" si="9"/>
        <v>56</v>
      </c>
      <c r="V16" s="23">
        <f t="shared" si="10"/>
        <v>94771.53374999999</v>
      </c>
    </row>
    <row r="17" spans="1:22" ht="12.75">
      <c r="A17" s="2">
        <f t="shared" si="1"/>
        <v>12</v>
      </c>
      <c r="B17" s="2" t="s">
        <v>21</v>
      </c>
      <c r="C17" s="46">
        <v>10770720</v>
      </c>
      <c r="D17" s="46">
        <v>3252759</v>
      </c>
      <c r="E17" s="16">
        <f>'Заработная плата 2019'!E17*1.0348</f>
        <v>7903883.114399999</v>
      </c>
      <c r="F17" s="16">
        <f>'Заработная плата 2019'!F17*1.0348</f>
        <v>674170.1303999999</v>
      </c>
      <c r="G17" s="16">
        <f>'Заработная плата 2019'!G17*1.0348</f>
        <v>674170.1303999999</v>
      </c>
      <c r="H17" s="2"/>
      <c r="I17" s="18">
        <f t="shared" si="0"/>
        <v>2192666.7552000005</v>
      </c>
      <c r="J17" s="45">
        <f t="shared" si="2"/>
        <v>8578053.2448</v>
      </c>
      <c r="K17" s="45">
        <f t="shared" si="3"/>
        <v>2590572.0799296</v>
      </c>
      <c r="L17" s="52">
        <f t="shared" si="4"/>
        <v>11168625.324729599</v>
      </c>
      <c r="M17" s="45">
        <f t="shared" si="5"/>
        <v>2192666.7552000005</v>
      </c>
      <c r="N17" s="45">
        <f t="shared" si="6"/>
        <v>662185.3600704002</v>
      </c>
      <c r="O17" s="52">
        <f t="shared" si="7"/>
        <v>2854852.1152704004</v>
      </c>
      <c r="P17" s="16"/>
      <c r="Q17" s="16">
        <f t="shared" si="8"/>
        <v>10770720</v>
      </c>
      <c r="R17" s="16">
        <f t="shared" si="8"/>
        <v>3252757.4400000004</v>
      </c>
      <c r="S17" s="16">
        <v>155</v>
      </c>
      <c r="T17" s="16">
        <v>51</v>
      </c>
      <c r="U17" s="16">
        <f t="shared" si="9"/>
        <v>206</v>
      </c>
      <c r="V17" s="23">
        <f t="shared" si="10"/>
        <v>68075.1332038835</v>
      </c>
    </row>
    <row r="18" spans="1:22" ht="12.75">
      <c r="A18" s="2">
        <f t="shared" si="1"/>
        <v>13</v>
      </c>
      <c r="B18" s="64" t="s">
        <v>22</v>
      </c>
      <c r="C18" s="46">
        <v>8364382</v>
      </c>
      <c r="D18" s="46">
        <v>2526044</v>
      </c>
      <c r="E18" s="16">
        <f>'Заработная плата 2019'!E18*1.0348</f>
        <v>5571980.9756</v>
      </c>
      <c r="F18" s="16">
        <f>'Заработная плата 2019'!F18*1.0348</f>
        <v>1102816.3691999998</v>
      </c>
      <c r="G18" s="16">
        <f>'Заработная плата 2019'!G18*1.0348</f>
        <v>1102816.3691999998</v>
      </c>
      <c r="H18" s="16"/>
      <c r="I18" s="18">
        <f t="shared" si="0"/>
        <v>1689584.6552000006</v>
      </c>
      <c r="J18" s="45">
        <f t="shared" si="2"/>
        <v>6674797.344799999</v>
      </c>
      <c r="K18" s="45">
        <f t="shared" si="3"/>
        <v>2015788.7981295998</v>
      </c>
      <c r="L18" s="52">
        <f t="shared" si="4"/>
        <v>8690586.142929599</v>
      </c>
      <c r="M18" s="45">
        <f t="shared" si="5"/>
        <v>1689584.6552000006</v>
      </c>
      <c r="N18" s="45">
        <f t="shared" si="6"/>
        <v>510254.56587040017</v>
      </c>
      <c r="O18" s="52">
        <f t="shared" si="7"/>
        <v>2199839.221070401</v>
      </c>
      <c r="P18" s="16"/>
      <c r="Q18" s="16">
        <f t="shared" si="8"/>
        <v>8364382</v>
      </c>
      <c r="R18" s="16">
        <f t="shared" si="8"/>
        <v>2526043.364</v>
      </c>
      <c r="S18" s="16">
        <v>265</v>
      </c>
      <c r="T18" s="16">
        <v>0</v>
      </c>
      <c r="U18" s="16">
        <f t="shared" si="9"/>
        <v>265</v>
      </c>
      <c r="V18" s="23">
        <f t="shared" si="10"/>
        <v>41095.94476981132</v>
      </c>
    </row>
    <row r="19" spans="1:22" ht="12.75">
      <c r="A19" s="2">
        <f t="shared" si="1"/>
        <v>14</v>
      </c>
      <c r="B19" s="2" t="s">
        <v>23</v>
      </c>
      <c r="C19" s="46">
        <v>21312476</v>
      </c>
      <c r="D19" s="46">
        <v>6436368</v>
      </c>
      <c r="E19" s="16">
        <f>'Заработная плата 2019'!E19*1.0348</f>
        <v>16350013.846399998</v>
      </c>
      <c r="F19" s="16">
        <f>'Заработная плата 2019'!F19*1.0348</f>
        <v>1211600.754</v>
      </c>
      <c r="G19" s="16">
        <f>'Заработная плата 2019'!G19*1.0348</f>
        <v>1211600.754</v>
      </c>
      <c r="H19" s="2"/>
      <c r="I19" s="18">
        <f t="shared" si="0"/>
        <v>3750861.399600002</v>
      </c>
      <c r="J19" s="45">
        <f t="shared" si="2"/>
        <v>17561614.600399997</v>
      </c>
      <c r="K19" s="45">
        <f t="shared" si="3"/>
        <v>5303607.609320799</v>
      </c>
      <c r="L19" s="52">
        <f t="shared" si="4"/>
        <v>22865222.209720798</v>
      </c>
      <c r="M19" s="45">
        <f t="shared" si="5"/>
        <v>3750861.399600002</v>
      </c>
      <c r="N19" s="45">
        <v>1132795</v>
      </c>
      <c r="O19" s="52">
        <f t="shared" si="7"/>
        <v>4883656.399600002</v>
      </c>
      <c r="P19" s="16"/>
      <c r="Q19" s="16">
        <f t="shared" si="8"/>
        <v>21312476</v>
      </c>
      <c r="R19" s="16">
        <f t="shared" si="8"/>
        <v>6436402.609320799</v>
      </c>
      <c r="S19" s="16">
        <v>1024</v>
      </c>
      <c r="T19" s="16">
        <v>0</v>
      </c>
      <c r="U19" s="16">
        <f t="shared" si="9"/>
        <v>1024</v>
      </c>
      <c r="V19" s="23">
        <f t="shared" si="10"/>
        <v>27098.514266914844</v>
      </c>
    </row>
    <row r="20" spans="1:22" ht="12.75">
      <c r="A20" s="2">
        <f t="shared" si="1"/>
        <v>15</v>
      </c>
      <c r="B20" s="2" t="s">
        <v>24</v>
      </c>
      <c r="C20" s="46">
        <v>9742772</v>
      </c>
      <c r="D20" s="46">
        <v>2942351</v>
      </c>
      <c r="E20" s="16">
        <f>'Заработная плата 2019'!E20*1.0348</f>
        <v>6503924.96</v>
      </c>
      <c r="F20" s="16">
        <f>'Заработная плата 2019'!F20*1.0348</f>
        <v>1090670.9216</v>
      </c>
      <c r="G20" s="16">
        <f>'Заработная плата 2019'!G20*1.0348</f>
        <v>1090670.9216</v>
      </c>
      <c r="H20" s="2"/>
      <c r="I20" s="18">
        <f t="shared" si="0"/>
        <v>2148176.1184</v>
      </c>
      <c r="J20" s="45">
        <f t="shared" si="2"/>
        <v>7594595.8816</v>
      </c>
      <c r="K20" s="45">
        <f t="shared" si="3"/>
        <v>2293567.9562431998</v>
      </c>
      <c r="L20" s="52">
        <f t="shared" si="4"/>
        <v>9888163.8378432</v>
      </c>
      <c r="M20" s="45">
        <f t="shared" si="5"/>
        <v>2148176.1184</v>
      </c>
      <c r="N20" s="45">
        <f t="shared" si="6"/>
        <v>648749.1877568</v>
      </c>
      <c r="O20" s="52">
        <f t="shared" si="7"/>
        <v>2796925.3061568</v>
      </c>
      <c r="P20" s="16"/>
      <c r="Q20" s="16">
        <f t="shared" si="8"/>
        <v>9742772</v>
      </c>
      <c r="R20" s="16">
        <f t="shared" si="8"/>
        <v>2942317.144</v>
      </c>
      <c r="S20" s="16">
        <v>295</v>
      </c>
      <c r="T20" s="16">
        <v>0</v>
      </c>
      <c r="U20" s="16">
        <f t="shared" si="9"/>
        <v>295</v>
      </c>
      <c r="V20" s="23">
        <f t="shared" si="10"/>
        <v>43000.30218305085</v>
      </c>
    </row>
    <row r="21" spans="1:22" ht="12.75">
      <c r="A21" s="14">
        <v>15</v>
      </c>
      <c r="B21" s="4" t="s">
        <v>1</v>
      </c>
      <c r="C21" s="17">
        <f aca="true" t="shared" si="11" ref="C21:U21">SUM(C6:C20)</f>
        <v>111572400</v>
      </c>
      <c r="D21" s="17">
        <f t="shared" si="11"/>
        <v>33694900</v>
      </c>
      <c r="E21" s="17">
        <f t="shared" si="11"/>
        <v>79701797.49479999</v>
      </c>
      <c r="F21" s="17">
        <f t="shared" si="11"/>
        <v>9774663.886</v>
      </c>
      <c r="G21" s="17">
        <f t="shared" si="11"/>
        <v>9774663.886</v>
      </c>
      <c r="H21" s="17">
        <f t="shared" si="11"/>
        <v>0</v>
      </c>
      <c r="I21" s="17">
        <f t="shared" si="11"/>
        <v>22095938.619200006</v>
      </c>
      <c r="J21" s="17">
        <f t="shared" si="11"/>
        <v>89476461.38080001</v>
      </c>
      <c r="K21" s="17">
        <f t="shared" si="11"/>
        <v>27021891.337001596</v>
      </c>
      <c r="L21" s="17">
        <f t="shared" si="11"/>
        <v>116498352.71780159</v>
      </c>
      <c r="M21" s="17">
        <f t="shared" si="11"/>
        <v>22095938.619200006</v>
      </c>
      <c r="N21" s="17">
        <f t="shared" si="11"/>
        <v>6673008.320319202</v>
      </c>
      <c r="O21" s="17">
        <f t="shared" si="11"/>
        <v>28768946.939519208</v>
      </c>
      <c r="P21" s="17">
        <f t="shared" si="11"/>
        <v>0</v>
      </c>
      <c r="Q21" s="17">
        <f t="shared" si="11"/>
        <v>111572400</v>
      </c>
      <c r="R21" s="17">
        <f t="shared" si="11"/>
        <v>33694899.657320805</v>
      </c>
      <c r="S21" s="17">
        <f t="shared" si="11"/>
        <v>2710</v>
      </c>
      <c r="T21" s="17">
        <f t="shared" si="11"/>
        <v>285</v>
      </c>
      <c r="U21" s="17">
        <f t="shared" si="11"/>
        <v>2995</v>
      </c>
      <c r="V21" s="74">
        <f t="shared" si="10"/>
        <v>48503.27200578324</v>
      </c>
    </row>
    <row r="22" spans="1:22" ht="12.75">
      <c r="A22" s="2">
        <v>1</v>
      </c>
      <c r="B22" s="2" t="s">
        <v>25</v>
      </c>
      <c r="C22" s="71">
        <v>9822317</v>
      </c>
      <c r="D22" s="71">
        <v>2966340</v>
      </c>
      <c r="E22" s="16">
        <f>'Заработная плата 2019'!E22*1.0348</f>
        <v>5495026.004</v>
      </c>
      <c r="F22" s="16">
        <f>'Заработная плата 2019'!F22*1.0348</f>
        <v>337555.8992</v>
      </c>
      <c r="G22" s="16">
        <f>'Заработная плата 2019'!G22*1.0348</f>
        <v>337555.8992</v>
      </c>
      <c r="H22" s="2"/>
      <c r="I22" s="18">
        <f t="shared" si="0"/>
        <v>3989735.0968000004</v>
      </c>
      <c r="J22" s="45">
        <f t="shared" si="2"/>
        <v>5832581.9032</v>
      </c>
      <c r="K22" s="45">
        <f t="shared" si="3"/>
        <v>1761439.7347663997</v>
      </c>
      <c r="L22" s="52">
        <f t="shared" si="4"/>
        <v>7594021.637966399</v>
      </c>
      <c r="M22" s="45">
        <f t="shared" si="5"/>
        <v>3989735.0968000004</v>
      </c>
      <c r="N22" s="45">
        <f>M22*0.302</f>
        <v>1204899.9992336</v>
      </c>
      <c r="O22" s="52">
        <f t="shared" si="7"/>
        <v>5194635.0960336</v>
      </c>
      <c r="P22" s="16"/>
      <c r="Q22" s="16">
        <f t="shared" si="8"/>
        <v>9822317</v>
      </c>
      <c r="R22" s="16">
        <f t="shared" si="8"/>
        <v>2966339.7339999997</v>
      </c>
      <c r="S22" s="16">
        <v>215</v>
      </c>
      <c r="T22" s="16"/>
      <c r="U22" s="16">
        <f aca="true" t="shared" si="12" ref="U22:U27">S22+T22</f>
        <v>215</v>
      </c>
      <c r="V22" s="23">
        <f t="shared" si="10"/>
        <v>59482.12434418604</v>
      </c>
    </row>
    <row r="23" spans="1:22" ht="12.75">
      <c r="A23" s="2">
        <f>SUM(A22+1)</f>
        <v>2</v>
      </c>
      <c r="B23" s="2" t="s">
        <v>26</v>
      </c>
      <c r="C23" s="71">
        <v>7968786</v>
      </c>
      <c r="D23" s="71">
        <v>2406574</v>
      </c>
      <c r="E23" s="16">
        <f>'Заработная плата 2019'!E23*1.0348</f>
        <v>4099564.0555999996</v>
      </c>
      <c r="F23" s="16">
        <f>'Заработная плата 2019'!F23*1.0348</f>
        <v>324571.2288</v>
      </c>
      <c r="G23" s="16">
        <f>'Заработная плата 2019'!G23*1.0348</f>
        <v>324571.2288</v>
      </c>
      <c r="H23" s="2"/>
      <c r="I23" s="18">
        <f t="shared" si="0"/>
        <v>3544650.7156</v>
      </c>
      <c r="J23" s="45">
        <f t="shared" si="2"/>
        <v>4424135.284399999</v>
      </c>
      <c r="K23" s="45">
        <f t="shared" si="3"/>
        <v>1336088.8558887998</v>
      </c>
      <c r="L23" s="52">
        <f t="shared" si="4"/>
        <v>5760224.140288799</v>
      </c>
      <c r="M23" s="45">
        <f t="shared" si="5"/>
        <v>3544650.7156</v>
      </c>
      <c r="N23" s="45">
        <f>M23*0.302</f>
        <v>1070484.5161112</v>
      </c>
      <c r="O23" s="52">
        <f t="shared" si="7"/>
        <v>4615135.2317112</v>
      </c>
      <c r="P23" s="16"/>
      <c r="Q23" s="16">
        <f t="shared" si="8"/>
        <v>7968786</v>
      </c>
      <c r="R23" s="16">
        <f t="shared" si="8"/>
        <v>2406573.3719999995</v>
      </c>
      <c r="S23" s="16">
        <v>194</v>
      </c>
      <c r="T23" s="16"/>
      <c r="U23" s="16">
        <f t="shared" si="12"/>
        <v>194</v>
      </c>
      <c r="V23" s="23">
        <f t="shared" si="10"/>
        <v>53481.23387628866</v>
      </c>
    </row>
    <row r="24" spans="1:22" ht="12.75">
      <c r="A24" s="2">
        <f>SUM(A23+1)</f>
        <v>3</v>
      </c>
      <c r="B24" s="2" t="s">
        <v>27</v>
      </c>
      <c r="C24" s="71">
        <v>5969133</v>
      </c>
      <c r="D24" s="71">
        <v>1802678</v>
      </c>
      <c r="E24" s="16">
        <f>'Заработная плата 2019'!E24*1.0348</f>
        <v>2759916.1147999996</v>
      </c>
      <c r="F24" s="16">
        <f>'Заработная плата 2019'!F24*1.0348</f>
        <v>277030.4472</v>
      </c>
      <c r="G24" s="16">
        <f>'Заработная плата 2019'!G24*1.0348</f>
        <v>277030.4472</v>
      </c>
      <c r="H24" s="2"/>
      <c r="I24" s="18">
        <f t="shared" si="0"/>
        <v>2932186.4380000005</v>
      </c>
      <c r="J24" s="45">
        <f t="shared" si="2"/>
        <v>3036946.5619999995</v>
      </c>
      <c r="K24" s="45">
        <f t="shared" si="3"/>
        <v>917157.8617239998</v>
      </c>
      <c r="L24" s="52">
        <f t="shared" si="4"/>
        <v>3954104.4237239994</v>
      </c>
      <c r="M24" s="45">
        <f t="shared" si="5"/>
        <v>2932186.4380000005</v>
      </c>
      <c r="N24" s="45">
        <f>M24*0.302</f>
        <v>885520.3042760001</v>
      </c>
      <c r="O24" s="52">
        <f t="shared" si="7"/>
        <v>3817706.742276001</v>
      </c>
      <c r="P24" s="16"/>
      <c r="Q24" s="16">
        <f t="shared" si="8"/>
        <v>5969133</v>
      </c>
      <c r="R24" s="16">
        <f t="shared" si="8"/>
        <v>1802678.166</v>
      </c>
      <c r="S24" s="16">
        <v>148</v>
      </c>
      <c r="T24" s="16"/>
      <c r="U24" s="16">
        <f t="shared" si="12"/>
        <v>148</v>
      </c>
      <c r="V24" s="23">
        <f t="shared" si="10"/>
        <v>52512.23760810811</v>
      </c>
    </row>
    <row r="25" spans="1:22" ht="12.75">
      <c r="A25" s="2">
        <f>SUM(A24+1)</f>
        <v>4</v>
      </c>
      <c r="B25" s="2" t="s">
        <v>40</v>
      </c>
      <c r="C25" s="71">
        <v>5981148</v>
      </c>
      <c r="D25" s="71">
        <v>1806307</v>
      </c>
      <c r="E25" s="16">
        <f>'Заработная плата 2019'!E25*1.0348</f>
        <v>3054861.0195999998</v>
      </c>
      <c r="F25" s="16">
        <f>'Заработная плата 2019'!F25*1.0348</f>
        <v>337562.108</v>
      </c>
      <c r="G25" s="16">
        <f>'Заработная плата 2019'!G25*1.0348</f>
        <v>337562.108</v>
      </c>
      <c r="H25" s="2"/>
      <c r="I25" s="18">
        <f t="shared" si="0"/>
        <v>2588724.8724</v>
      </c>
      <c r="J25" s="45">
        <f t="shared" si="2"/>
        <v>3392423.1276</v>
      </c>
      <c r="K25" s="45">
        <f t="shared" si="3"/>
        <v>1024511.7845351999</v>
      </c>
      <c r="L25" s="52">
        <f t="shared" si="4"/>
        <v>4416934.9121352</v>
      </c>
      <c r="M25" s="45">
        <f t="shared" si="5"/>
        <v>2588724.8724</v>
      </c>
      <c r="N25" s="45">
        <f>M25*0.302</f>
        <v>781794.9114648</v>
      </c>
      <c r="O25" s="52">
        <f t="shared" si="7"/>
        <v>3370519.7838648004</v>
      </c>
      <c r="P25" s="16"/>
      <c r="Q25" s="16">
        <f t="shared" si="8"/>
        <v>5981148</v>
      </c>
      <c r="R25" s="16">
        <f t="shared" si="8"/>
        <v>1806306.696</v>
      </c>
      <c r="S25" s="16">
        <v>93</v>
      </c>
      <c r="T25" s="16"/>
      <c r="U25" s="16">
        <f t="shared" si="12"/>
        <v>93</v>
      </c>
      <c r="V25" s="23">
        <f t="shared" si="10"/>
        <v>83736.072</v>
      </c>
    </row>
    <row r="26" spans="1:22" ht="12.75">
      <c r="A26" s="2">
        <f>SUM(A25+1)</f>
        <v>5</v>
      </c>
      <c r="B26" s="2" t="s">
        <v>42</v>
      </c>
      <c r="C26" s="71">
        <v>9032094</v>
      </c>
      <c r="D26" s="71">
        <v>2727692</v>
      </c>
      <c r="E26" s="16">
        <f>'Заработная плата 2019'!E26*1.0348</f>
        <v>4322897.6959999995</v>
      </c>
      <c r="F26" s="16">
        <f>'Заработная плата 2019'!F26*1.0348</f>
        <v>527446.8731999999</v>
      </c>
      <c r="G26" s="16">
        <f>'Заработная плата 2019'!G26*1.0348</f>
        <v>527446.8731999999</v>
      </c>
      <c r="H26" s="2"/>
      <c r="I26" s="18">
        <f t="shared" si="0"/>
        <v>4181749.4308000007</v>
      </c>
      <c r="J26" s="45">
        <f t="shared" si="2"/>
        <v>4850344.5692</v>
      </c>
      <c r="K26" s="45">
        <f t="shared" si="3"/>
        <v>1464804.0598984</v>
      </c>
      <c r="L26" s="52">
        <f t="shared" si="4"/>
        <v>6315148.6290984</v>
      </c>
      <c r="M26" s="45">
        <f t="shared" si="5"/>
        <v>4181749.4308000007</v>
      </c>
      <c r="N26" s="45">
        <v>1262889</v>
      </c>
      <c r="O26" s="52">
        <f t="shared" si="7"/>
        <v>5444638.4308</v>
      </c>
      <c r="P26" s="16"/>
      <c r="Q26" s="16">
        <f t="shared" si="8"/>
        <v>9032094</v>
      </c>
      <c r="R26" s="16">
        <f t="shared" si="8"/>
        <v>2727693.0598983997</v>
      </c>
      <c r="S26" s="16">
        <v>200</v>
      </c>
      <c r="T26" s="16"/>
      <c r="U26" s="16">
        <f t="shared" si="12"/>
        <v>200</v>
      </c>
      <c r="V26" s="23">
        <f t="shared" si="10"/>
        <v>58798.935299492</v>
      </c>
    </row>
    <row r="27" spans="1:22" ht="12.75">
      <c r="A27" s="2">
        <f>SUM(A26+1)</f>
        <v>6</v>
      </c>
      <c r="B27" s="2" t="s">
        <v>32</v>
      </c>
      <c r="C27" s="71">
        <v>1678288</v>
      </c>
      <c r="D27" s="71">
        <v>506843</v>
      </c>
      <c r="E27" s="16">
        <f>'Заработная плата 2019'!E27*1.0348</f>
        <v>704947.152</v>
      </c>
      <c r="F27" s="16">
        <f>'Заработная плата 2019'!F27*1.0348</f>
        <v>201692.868</v>
      </c>
      <c r="G27" s="16">
        <f>'Заработная плата 2019'!G27*1.0348</f>
        <v>201692.868</v>
      </c>
      <c r="H27" s="16"/>
      <c r="I27" s="18">
        <f t="shared" si="0"/>
        <v>771647.98</v>
      </c>
      <c r="J27" s="45">
        <f t="shared" si="2"/>
        <v>906640.02</v>
      </c>
      <c r="K27" s="45">
        <f t="shared" si="3"/>
        <v>273805.28604</v>
      </c>
      <c r="L27" s="52">
        <f t="shared" si="4"/>
        <v>1180445.30604</v>
      </c>
      <c r="M27" s="45">
        <f t="shared" si="5"/>
        <v>771647.98</v>
      </c>
      <c r="N27" s="45">
        <f>M27*0.302</f>
        <v>233037.68996</v>
      </c>
      <c r="O27" s="52">
        <f t="shared" si="7"/>
        <v>1004685.66996</v>
      </c>
      <c r="P27" s="16"/>
      <c r="Q27" s="16">
        <f t="shared" si="8"/>
        <v>1678288</v>
      </c>
      <c r="R27" s="16">
        <f t="shared" si="8"/>
        <v>506842.97599999997</v>
      </c>
      <c r="S27" s="16">
        <v>36</v>
      </c>
      <c r="T27" s="16"/>
      <c r="U27" s="16">
        <f t="shared" si="12"/>
        <v>36</v>
      </c>
      <c r="V27" s="23">
        <f t="shared" si="10"/>
        <v>60698.08266666666</v>
      </c>
    </row>
    <row r="28" spans="1:22" ht="12.75">
      <c r="A28" s="14">
        <v>6</v>
      </c>
      <c r="B28" s="4" t="s">
        <v>1</v>
      </c>
      <c r="C28" s="17">
        <f aca="true" t="shared" si="13" ref="C28:U28">SUM(C22:C27)</f>
        <v>40451766</v>
      </c>
      <c r="D28" s="17">
        <f t="shared" si="13"/>
        <v>12216434</v>
      </c>
      <c r="E28" s="17">
        <f t="shared" si="13"/>
        <v>20437212.041999996</v>
      </c>
      <c r="F28" s="17">
        <f t="shared" si="13"/>
        <v>2005859.4244000001</v>
      </c>
      <c r="G28" s="17">
        <f t="shared" si="13"/>
        <v>2005859.4244000001</v>
      </c>
      <c r="H28" s="17">
        <f t="shared" si="13"/>
        <v>0</v>
      </c>
      <c r="I28" s="17">
        <f t="shared" si="13"/>
        <v>18008694.533600003</v>
      </c>
      <c r="J28" s="17">
        <f t="shared" si="13"/>
        <v>22443071.466399994</v>
      </c>
      <c r="K28" s="17">
        <f t="shared" si="13"/>
        <v>6777807.5828527985</v>
      </c>
      <c r="L28" s="17">
        <f t="shared" si="13"/>
        <v>29220879.049252797</v>
      </c>
      <c r="M28" s="17">
        <f t="shared" si="13"/>
        <v>18008694.533600003</v>
      </c>
      <c r="N28" s="17">
        <f t="shared" si="13"/>
        <v>5438626.4210456</v>
      </c>
      <c r="O28" s="17">
        <f t="shared" si="13"/>
        <v>23447320.954645604</v>
      </c>
      <c r="P28" s="17">
        <f t="shared" si="13"/>
        <v>0</v>
      </c>
      <c r="Q28" s="17">
        <f t="shared" si="13"/>
        <v>40451766</v>
      </c>
      <c r="R28" s="17">
        <f t="shared" si="13"/>
        <v>12216434.003898397</v>
      </c>
      <c r="S28" s="17">
        <f>SUM(S22:S27)</f>
        <v>886</v>
      </c>
      <c r="T28" s="17">
        <f t="shared" si="13"/>
        <v>0</v>
      </c>
      <c r="U28" s="17">
        <f t="shared" si="13"/>
        <v>886</v>
      </c>
      <c r="V28" s="74">
        <f t="shared" si="10"/>
        <v>59444.92099762799</v>
      </c>
    </row>
    <row r="29" spans="1:22" ht="12.75">
      <c r="A29" s="2">
        <v>1</v>
      </c>
      <c r="B29" s="39" t="s">
        <v>35</v>
      </c>
      <c r="C29" s="46">
        <v>2718805</v>
      </c>
      <c r="D29" s="46">
        <v>821079</v>
      </c>
      <c r="E29" s="2">
        <v>1754664</v>
      </c>
      <c r="F29" s="2">
        <v>315479</v>
      </c>
      <c r="G29" s="2">
        <v>315479</v>
      </c>
      <c r="H29" s="2"/>
      <c r="I29" s="18">
        <f>C29-E29-F29</f>
        <v>648662</v>
      </c>
      <c r="J29" s="45">
        <f>E29+G29</f>
        <v>2070143</v>
      </c>
      <c r="K29" s="45">
        <f>J29*0.302</f>
        <v>625183.186</v>
      </c>
      <c r="L29" s="52">
        <f>J29+K29</f>
        <v>2695326.1859999998</v>
      </c>
      <c r="M29" s="45">
        <f>H29+I29</f>
        <v>648662</v>
      </c>
      <c r="N29" s="45">
        <f>M29*0.302</f>
        <v>195895.924</v>
      </c>
      <c r="O29" s="52">
        <f>M29+N29</f>
        <v>844557.924</v>
      </c>
      <c r="P29" s="16"/>
      <c r="Q29" s="16">
        <f aca="true" t="shared" si="14" ref="Q29:R32">J29+M29</f>
        <v>2718805</v>
      </c>
      <c r="R29" s="16">
        <f t="shared" si="14"/>
        <v>821079.11</v>
      </c>
      <c r="S29" s="16">
        <v>1216</v>
      </c>
      <c r="T29" s="16"/>
      <c r="U29" s="16">
        <f>S29+T29</f>
        <v>1216</v>
      </c>
      <c r="V29" s="23">
        <f t="shared" si="10"/>
        <v>2911.08890625</v>
      </c>
    </row>
    <row r="30" spans="1:22" ht="12.75">
      <c r="A30" s="2">
        <f>SUM(A29+1)</f>
        <v>2</v>
      </c>
      <c r="B30" s="41" t="s">
        <v>43</v>
      </c>
      <c r="C30" s="46">
        <v>3720720</v>
      </c>
      <c r="D30" s="46">
        <v>1123657</v>
      </c>
      <c r="E30" s="2">
        <v>3720720</v>
      </c>
      <c r="F30" s="2"/>
      <c r="G30" s="16"/>
      <c r="H30" s="2"/>
      <c r="I30" s="18">
        <f>C30-E30-F30</f>
        <v>0</v>
      </c>
      <c r="J30" s="19">
        <f>E30+G30</f>
        <v>3720720</v>
      </c>
      <c r="K30" s="19">
        <f>J30*0.302</f>
        <v>1123657.44</v>
      </c>
      <c r="L30" s="52">
        <f>J30+K30</f>
        <v>4844377.4399999995</v>
      </c>
      <c r="M30" s="45">
        <f>H30+I30</f>
        <v>0</v>
      </c>
      <c r="N30" s="45">
        <f>M30*0.302</f>
        <v>0</v>
      </c>
      <c r="O30" s="52">
        <f>M30+N30</f>
        <v>0</v>
      </c>
      <c r="P30" s="16"/>
      <c r="Q30" s="16">
        <f t="shared" si="14"/>
        <v>3720720</v>
      </c>
      <c r="R30" s="16">
        <f t="shared" si="14"/>
        <v>1123657.44</v>
      </c>
      <c r="S30" s="16">
        <v>1135</v>
      </c>
      <c r="T30" s="16"/>
      <c r="U30" s="16">
        <f>S30+T30</f>
        <v>1135</v>
      </c>
      <c r="V30" s="23">
        <f>(L30+O30+L31+O31)/U30</f>
        <v>10634.846125110133</v>
      </c>
    </row>
    <row r="31" spans="1:22" ht="12.75">
      <c r="A31" s="2">
        <f>SUM(A30+1)</f>
        <v>3</v>
      </c>
      <c r="B31" s="41" t="s">
        <v>38</v>
      </c>
      <c r="C31" s="46">
        <v>5550056</v>
      </c>
      <c r="D31" s="46">
        <v>1676117</v>
      </c>
      <c r="E31" s="2"/>
      <c r="F31" s="2">
        <v>744776</v>
      </c>
      <c r="G31" s="2">
        <v>744776</v>
      </c>
      <c r="H31" s="2"/>
      <c r="I31" s="18">
        <f>C31-E31-F31</f>
        <v>4805280</v>
      </c>
      <c r="J31" s="19">
        <f>E31+G31</f>
        <v>744776</v>
      </c>
      <c r="K31" s="19">
        <f>J31*0.302</f>
        <v>224922.35199999998</v>
      </c>
      <c r="L31" s="52">
        <f>J31+K31</f>
        <v>969698.352</v>
      </c>
      <c r="M31" s="45">
        <f>H31+I31</f>
        <v>4805280</v>
      </c>
      <c r="N31" s="45">
        <f>M31*0.302</f>
        <v>1451194.56</v>
      </c>
      <c r="O31" s="52">
        <f>M31+N31</f>
        <v>6256474.5600000005</v>
      </c>
      <c r="P31" s="16"/>
      <c r="Q31" s="16">
        <f t="shared" si="14"/>
        <v>5550056</v>
      </c>
      <c r="R31" s="16">
        <f t="shared" si="14"/>
        <v>1676116.912</v>
      </c>
      <c r="S31" s="16"/>
      <c r="T31" s="55"/>
      <c r="U31" s="16">
        <f>S31+T31</f>
        <v>0</v>
      </c>
      <c r="V31" s="23" t="e">
        <f t="shared" si="10"/>
        <v>#DIV/0!</v>
      </c>
    </row>
    <row r="32" spans="1:22" ht="12.75">
      <c r="A32" s="2">
        <f>SUM(A31+1)</f>
        <v>4</v>
      </c>
      <c r="B32" s="40" t="s">
        <v>39</v>
      </c>
      <c r="C32" s="46">
        <v>5309218</v>
      </c>
      <c r="D32" s="46">
        <v>1603383</v>
      </c>
      <c r="E32" s="38">
        <v>3342380</v>
      </c>
      <c r="F32" s="38">
        <v>453590</v>
      </c>
      <c r="G32" s="38">
        <v>453590</v>
      </c>
      <c r="H32" s="38"/>
      <c r="I32" s="18">
        <f>C32-E32-F32</f>
        <v>1513248</v>
      </c>
      <c r="J32" s="45">
        <f>E32+G32</f>
        <v>3795970</v>
      </c>
      <c r="K32" s="45">
        <f>J32*0.302</f>
        <v>1146382.94</v>
      </c>
      <c r="L32" s="52">
        <f>J32+K32</f>
        <v>4942352.9399999995</v>
      </c>
      <c r="M32" s="45">
        <f>H32+I32</f>
        <v>1513248</v>
      </c>
      <c r="N32" s="45">
        <v>457000</v>
      </c>
      <c r="O32" s="52">
        <f>M32+N32</f>
        <v>1970248</v>
      </c>
      <c r="P32" s="16"/>
      <c r="Q32" s="16">
        <f t="shared" si="14"/>
        <v>5309218</v>
      </c>
      <c r="R32" s="16">
        <f t="shared" si="14"/>
        <v>1603382.94</v>
      </c>
      <c r="S32" s="55">
        <v>271</v>
      </c>
      <c r="T32" s="55"/>
      <c r="U32" s="16">
        <f>S32+T32</f>
        <v>271</v>
      </c>
      <c r="V32" s="23">
        <f t="shared" si="10"/>
        <v>25507.75254612546</v>
      </c>
    </row>
    <row r="33" spans="1:22" ht="12.75">
      <c r="A33" s="14">
        <v>3</v>
      </c>
      <c r="B33" s="4" t="s">
        <v>1</v>
      </c>
      <c r="C33" s="28">
        <f aca="true" t="shared" si="15" ref="C33:O33">SUM(C29:C32)</f>
        <v>17298799</v>
      </c>
      <c r="D33" s="28">
        <f t="shared" si="15"/>
        <v>5224236</v>
      </c>
      <c r="E33" s="28">
        <f t="shared" si="15"/>
        <v>8817764</v>
      </c>
      <c r="F33" s="28">
        <f t="shared" si="15"/>
        <v>1513845</v>
      </c>
      <c r="G33" s="28">
        <f>G29+G31+G32</f>
        <v>1513845</v>
      </c>
      <c r="H33" s="28">
        <f t="shared" si="15"/>
        <v>0</v>
      </c>
      <c r="I33" s="28">
        <f t="shared" si="15"/>
        <v>6967190</v>
      </c>
      <c r="J33" s="28">
        <f t="shared" si="15"/>
        <v>10331609</v>
      </c>
      <c r="K33" s="28">
        <f t="shared" si="15"/>
        <v>3120145.9179999996</v>
      </c>
      <c r="L33" s="28">
        <f t="shared" si="15"/>
        <v>13451754.918</v>
      </c>
      <c r="M33" s="28">
        <f t="shared" si="15"/>
        <v>6967190</v>
      </c>
      <c r="N33" s="28">
        <f t="shared" si="15"/>
        <v>2104090.484</v>
      </c>
      <c r="O33" s="28">
        <f t="shared" si="15"/>
        <v>9071280.484000001</v>
      </c>
      <c r="P33" s="28">
        <f aca="true" t="shared" si="16" ref="P33:U33">SUM(P29:P32)</f>
        <v>0</v>
      </c>
      <c r="Q33" s="28">
        <f t="shared" si="16"/>
        <v>17298799</v>
      </c>
      <c r="R33" s="28">
        <f t="shared" si="16"/>
        <v>5224236.402</v>
      </c>
      <c r="S33" s="28">
        <f t="shared" si="16"/>
        <v>2622</v>
      </c>
      <c r="T33" s="28">
        <f t="shared" si="16"/>
        <v>0</v>
      </c>
      <c r="U33" s="28">
        <f t="shared" si="16"/>
        <v>2622</v>
      </c>
      <c r="V33" s="74">
        <f>(L33+O33)/U33</f>
        <v>8590.021129672006</v>
      </c>
    </row>
    <row r="34" spans="2:19" ht="12.75">
      <c r="B34" s="11"/>
      <c r="C34" s="47"/>
      <c r="D34" s="47"/>
      <c r="E34" s="47"/>
      <c r="F34" s="47"/>
      <c r="G34" s="47"/>
      <c r="H34" s="47"/>
      <c r="I34" s="47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9" ht="12.75">
      <c r="B35" s="6" t="s">
        <v>56</v>
      </c>
      <c r="C35" s="6"/>
      <c r="D35" s="6"/>
      <c r="E35" s="6"/>
      <c r="F35" s="6"/>
      <c r="G35" s="6"/>
      <c r="H35" s="6"/>
      <c r="I35" s="6"/>
    </row>
    <row r="36" spans="2:14" ht="12.75">
      <c r="B36" s="8"/>
      <c r="C36" s="8"/>
      <c r="D36" s="8"/>
      <c r="E36" s="8"/>
      <c r="F36" s="8"/>
      <c r="G36" s="8"/>
      <c r="H36" s="8"/>
      <c r="I36" s="8"/>
      <c r="J36" s="9"/>
      <c r="K36" s="9"/>
      <c r="L36" s="9"/>
      <c r="M36" s="9"/>
      <c r="N36" s="9"/>
    </row>
    <row r="37" spans="2:14" ht="12.75">
      <c r="B37" s="8"/>
      <c r="C37" s="8"/>
      <c r="D37" s="8"/>
      <c r="E37" s="8"/>
      <c r="F37" s="8"/>
      <c r="G37" s="8"/>
      <c r="H37" s="8"/>
      <c r="I37" s="8"/>
      <c r="J37" s="9"/>
      <c r="K37" s="9"/>
      <c r="L37" s="9"/>
      <c r="M37" s="9"/>
      <c r="N37" s="9"/>
    </row>
  </sheetData>
  <sheetProtection/>
  <mergeCells count="3">
    <mergeCell ref="E1:Q1"/>
    <mergeCell ref="E4:I4"/>
    <mergeCell ref="B2:K2"/>
  </mergeCells>
  <printOptions/>
  <pageMargins left="0.2" right="0.2" top="0.52" bottom="0.49" header="0.5" footer="0.5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PageLayoutView="0" workbookViewId="0" topLeftCell="A13">
      <selection activeCell="M38" sqref="M38"/>
    </sheetView>
  </sheetViews>
  <sheetFormatPr defaultColWidth="9.00390625" defaultRowHeight="12.75"/>
  <cols>
    <col min="1" max="1" width="3.50390625" style="0" customWidth="1"/>
    <col min="2" max="2" width="34.625" style="0" customWidth="1"/>
    <col min="3" max="3" width="14.50390625" style="0" customWidth="1"/>
    <col min="4" max="4" width="13.875" style="0" customWidth="1"/>
    <col min="5" max="5" width="14.375" style="0" customWidth="1"/>
    <col min="6" max="6" width="10.625" style="0" customWidth="1"/>
    <col min="7" max="7" width="11.125" style="0" customWidth="1"/>
    <col min="8" max="8" width="8.50390625" style="0" customWidth="1"/>
    <col min="9" max="9" width="10.875" style="0" customWidth="1"/>
    <col min="10" max="10" width="6.875" style="0" customWidth="1"/>
    <col min="11" max="11" width="5.375" style="0" customWidth="1"/>
    <col min="12" max="12" width="3.00390625" style="0" customWidth="1"/>
    <col min="13" max="13" width="2.875" style="0" customWidth="1"/>
    <col min="14" max="14" width="2.625" style="0" customWidth="1"/>
    <col min="15" max="15" width="7.625" style="0" customWidth="1"/>
  </cols>
  <sheetData>
    <row r="2" spans="2:8" ht="27.75" customHeight="1">
      <c r="B2" s="79" t="s">
        <v>80</v>
      </c>
      <c r="C2" s="79"/>
      <c r="D2" s="79"/>
      <c r="E2" s="79"/>
      <c r="F2" s="79"/>
      <c r="G2" s="63"/>
      <c r="H2" s="63"/>
    </row>
    <row r="3" spans="2:3" ht="12.75">
      <c r="B3" s="3"/>
      <c r="C3" s="3"/>
    </row>
    <row r="4" spans="1:8" ht="98.25" customHeight="1">
      <c r="A4" s="1"/>
      <c r="B4" s="13" t="s">
        <v>0</v>
      </c>
      <c r="C4" s="44" t="s">
        <v>100</v>
      </c>
      <c r="D4" s="44" t="s">
        <v>101</v>
      </c>
      <c r="E4" s="54" t="s">
        <v>102</v>
      </c>
      <c r="F4" s="7" t="s">
        <v>65</v>
      </c>
      <c r="G4" s="44" t="s">
        <v>66</v>
      </c>
      <c r="H4" s="53"/>
    </row>
    <row r="5" spans="1:8" ht="14.25" customHeight="1">
      <c r="A5" s="1"/>
      <c r="B5" s="80" t="s">
        <v>62</v>
      </c>
      <c r="C5" s="81"/>
      <c r="D5" s="81"/>
      <c r="E5" s="81"/>
      <c r="F5" s="81"/>
      <c r="G5" s="81"/>
      <c r="H5" s="82"/>
    </row>
    <row r="6" spans="1:9" ht="12.75">
      <c r="A6" s="2">
        <v>1</v>
      </c>
      <c r="B6" s="2" t="s">
        <v>7</v>
      </c>
      <c r="C6" s="33">
        <f>'Непосред. связ. с мун. усл.2019'!O4</f>
        <v>64539.8195862069</v>
      </c>
      <c r="D6" s="23">
        <f>'Общехозяйственные расходы 2019'!R4</f>
        <v>49726.86672413793</v>
      </c>
      <c r="E6" s="24">
        <f>C6+D6</f>
        <v>114266.68631034483</v>
      </c>
      <c r="F6" s="42">
        <v>1</v>
      </c>
      <c r="G6" s="56">
        <f>E6/57240.14</f>
        <v>1.9962684631858836</v>
      </c>
      <c r="H6" s="56"/>
      <c r="I6" s="6"/>
    </row>
    <row r="7" spans="1:9" ht="12.75">
      <c r="A7" s="2">
        <f aca="true" t="shared" si="0" ref="A7:A20">SUM(A6+1)</f>
        <v>2</v>
      </c>
      <c r="B7" s="5" t="s">
        <v>8</v>
      </c>
      <c r="C7" s="33">
        <f>'Непосред. связ. с мун. усл.2019'!O5</f>
        <v>57687.492314285715</v>
      </c>
      <c r="D7" s="23">
        <f>'Общехозяйственные расходы 2019'!R5</f>
        <v>31290.828857142857</v>
      </c>
      <c r="E7" s="24">
        <f aca="true" t="shared" si="1" ref="E7:E34">C7+D7</f>
        <v>88978.32117142857</v>
      </c>
      <c r="F7" s="42">
        <v>1</v>
      </c>
      <c r="G7" s="56">
        <f aca="true" t="shared" si="2" ref="G7:G21">E7/57240.14</f>
        <v>1.5544742058881857</v>
      </c>
      <c r="H7" s="56"/>
      <c r="I7" s="6"/>
    </row>
    <row r="8" spans="1:9" ht="12.75">
      <c r="A8" s="2">
        <f t="shared" si="0"/>
        <v>3</v>
      </c>
      <c r="B8" s="5" t="s">
        <v>9</v>
      </c>
      <c r="C8" s="33">
        <f>'Непосред. связ. с мун. усл.2019'!O6</f>
        <v>42723.25592523364</v>
      </c>
      <c r="D8" s="23">
        <f>'Общехозяйственные расходы 2019'!R6</f>
        <v>23634.712728971965</v>
      </c>
      <c r="E8" s="24">
        <f t="shared" si="1"/>
        <v>66357.96865420562</v>
      </c>
      <c r="F8" s="42">
        <v>1</v>
      </c>
      <c r="G8" s="56">
        <f t="shared" si="2"/>
        <v>1.1592908167975413</v>
      </c>
      <c r="H8" s="56"/>
      <c r="I8" s="6"/>
    </row>
    <row r="9" spans="1:9" ht="12.75">
      <c r="A9" s="2">
        <f t="shared" si="0"/>
        <v>4</v>
      </c>
      <c r="B9" s="5" t="s">
        <v>10</v>
      </c>
      <c r="C9" s="33">
        <f>'Непосред. связ. с мун. усл.2019'!O7</f>
        <v>53428.44845098039</v>
      </c>
      <c r="D9" s="23">
        <f>'Общехозяйственные расходы 2019'!R7</f>
        <v>22091.95350980392</v>
      </c>
      <c r="E9" s="24">
        <f t="shared" si="1"/>
        <v>75520.40196078431</v>
      </c>
      <c r="F9" s="42">
        <v>1</v>
      </c>
      <c r="G9" s="56">
        <f t="shared" si="2"/>
        <v>1.319360888369321</v>
      </c>
      <c r="H9" s="56"/>
      <c r="I9" s="6"/>
    </row>
    <row r="10" spans="1:9" ht="12.75">
      <c r="A10" s="2">
        <f t="shared" si="0"/>
        <v>5</v>
      </c>
      <c r="B10" s="5" t="s">
        <v>12</v>
      </c>
      <c r="C10" s="33">
        <f>'Непосред. связ. с мун. усл.2019'!O8</f>
        <v>62002.23789610389</v>
      </c>
      <c r="D10" s="23">
        <f>'Общехозяйственные расходы 2019'!R8</f>
        <v>29110.02844155844</v>
      </c>
      <c r="E10" s="24">
        <f t="shared" si="1"/>
        <v>91112.26633766232</v>
      </c>
      <c r="F10" s="42">
        <v>1</v>
      </c>
      <c r="G10" s="56">
        <f t="shared" si="2"/>
        <v>1.5917547779873062</v>
      </c>
      <c r="H10" s="56"/>
      <c r="I10" s="6"/>
    </row>
    <row r="11" spans="1:9" ht="12.75">
      <c r="A11" s="2">
        <f t="shared" si="0"/>
        <v>6</v>
      </c>
      <c r="B11" s="5" t="s">
        <v>14</v>
      </c>
      <c r="C11" s="33">
        <f>'Непосред. связ. с мун. усл.2019'!O9</f>
        <v>51018.29214666667</v>
      </c>
      <c r="D11" s="23">
        <f>'Общехозяйственные расходы 2019'!R9</f>
        <v>24466.950853333332</v>
      </c>
      <c r="E11" s="24">
        <f t="shared" si="1"/>
        <v>75485.243</v>
      </c>
      <c r="F11" s="42">
        <v>1</v>
      </c>
      <c r="G11" s="56">
        <f t="shared" si="2"/>
        <v>1.318746652261857</v>
      </c>
      <c r="H11" s="56"/>
      <c r="I11" s="6"/>
    </row>
    <row r="12" spans="1:9" ht="12.75">
      <c r="A12" s="2">
        <f t="shared" si="0"/>
        <v>7</v>
      </c>
      <c r="B12" s="5" t="s">
        <v>15</v>
      </c>
      <c r="C12" s="33">
        <f>'Непосред. связ. с мун. усл.2019'!O10</f>
        <v>41143.54425252525</v>
      </c>
      <c r="D12" s="23">
        <f>'Общехозяйственные расходы 2019'!R10</f>
        <v>14218.694626262626</v>
      </c>
      <c r="E12" s="24">
        <f t="shared" si="1"/>
        <v>55362.23887878787</v>
      </c>
      <c r="F12" s="42">
        <v>1</v>
      </c>
      <c r="G12" s="56">
        <f t="shared" si="2"/>
        <v>0.9671925833652376</v>
      </c>
      <c r="H12" s="56"/>
      <c r="I12" s="6"/>
    </row>
    <row r="13" spans="1:9" ht="12.75">
      <c r="A13" s="2">
        <f t="shared" si="0"/>
        <v>8</v>
      </c>
      <c r="B13" s="5" t="s">
        <v>17</v>
      </c>
      <c r="C13" s="33">
        <f>'Непосред. связ. с мун. усл.2019'!O11</f>
        <v>48568.33006741573</v>
      </c>
      <c r="D13" s="23">
        <f>'Общехозяйственные расходы 2019'!R11</f>
        <v>25834.967685393258</v>
      </c>
      <c r="E13" s="24">
        <f t="shared" si="1"/>
        <v>74403.29775280898</v>
      </c>
      <c r="F13" s="42">
        <v>1</v>
      </c>
      <c r="G13" s="56">
        <f t="shared" si="2"/>
        <v>1.2998447899115724</v>
      </c>
      <c r="H13" s="56"/>
      <c r="I13" s="6"/>
    </row>
    <row r="14" spans="1:9" ht="12.75">
      <c r="A14" s="2">
        <f t="shared" si="0"/>
        <v>9</v>
      </c>
      <c r="B14" s="5" t="s">
        <v>18</v>
      </c>
      <c r="C14" s="33">
        <f>'Непосред. связ. с мун. усл.2019'!O12</f>
        <v>55707.26937037037</v>
      </c>
      <c r="D14" s="23">
        <f>'Общехозяйственные расходы 2019'!R12</f>
        <v>28182.797419753086</v>
      </c>
      <c r="E14" s="24">
        <f t="shared" si="1"/>
        <v>83890.06679012346</v>
      </c>
      <c r="F14" s="42">
        <v>1</v>
      </c>
      <c r="G14" s="56">
        <f t="shared" si="2"/>
        <v>1.4655810902999793</v>
      </c>
      <c r="H14" s="56"/>
      <c r="I14" s="6"/>
    </row>
    <row r="15" spans="1:9" ht="12.75">
      <c r="A15" s="2">
        <f t="shared" si="0"/>
        <v>10</v>
      </c>
      <c r="B15" s="5" t="s">
        <v>19</v>
      </c>
      <c r="C15" s="33">
        <f>'Непосред. связ. с мун. усл.2019'!O13</f>
        <v>48661.923867647056</v>
      </c>
      <c r="D15" s="23">
        <f>'Общехозяйственные расходы 2019'!R13</f>
        <v>27112.43241176471</v>
      </c>
      <c r="E15" s="24">
        <f t="shared" si="1"/>
        <v>75774.35627941176</v>
      </c>
      <c r="F15" s="42">
        <v>1</v>
      </c>
      <c r="G15" s="56">
        <f t="shared" si="2"/>
        <v>1.3237975357749259</v>
      </c>
      <c r="H15" s="56"/>
      <c r="I15" s="6"/>
    </row>
    <row r="16" spans="1:9" ht="12.75">
      <c r="A16" s="2">
        <f t="shared" si="0"/>
        <v>11</v>
      </c>
      <c r="B16" s="5" t="s">
        <v>20</v>
      </c>
      <c r="C16" s="33">
        <f>'Непосред. связ. с мун. усл.2019'!O14</f>
        <v>74831.45664285714</v>
      </c>
      <c r="D16" s="23">
        <f>'Общехозяйственные расходы 2019'!R14</f>
        <v>37759.220357142854</v>
      </c>
      <c r="E16" s="24">
        <f t="shared" si="1"/>
        <v>112590.677</v>
      </c>
      <c r="F16" s="42">
        <v>1</v>
      </c>
      <c r="G16" s="56">
        <f t="shared" si="2"/>
        <v>1.966988148526541</v>
      </c>
      <c r="H16" s="56"/>
      <c r="I16" s="6"/>
    </row>
    <row r="17" spans="1:9" ht="12.75">
      <c r="A17" s="2">
        <f t="shared" si="0"/>
        <v>12</v>
      </c>
      <c r="B17" s="2" t="s">
        <v>21</v>
      </c>
      <c r="C17" s="33">
        <f>'Непосред. связ. с мун. усл.2019'!O15</f>
        <v>53062.96093203883</v>
      </c>
      <c r="D17" s="23">
        <f>'Общехозяйственные расходы 2019'!R15</f>
        <v>24430.84560194175</v>
      </c>
      <c r="E17" s="24">
        <f t="shared" si="1"/>
        <v>77493.80653398059</v>
      </c>
      <c r="F17" s="42">
        <v>1</v>
      </c>
      <c r="G17" s="56">
        <f t="shared" si="2"/>
        <v>1.3538367749271856</v>
      </c>
      <c r="H17" s="56"/>
      <c r="I17" s="6"/>
    </row>
    <row r="18" spans="1:9" ht="12.75">
      <c r="A18" s="2">
        <f t="shared" si="0"/>
        <v>13</v>
      </c>
      <c r="B18" s="2" t="s">
        <v>22</v>
      </c>
      <c r="C18" s="33">
        <f>'Непосред. связ. с мун. усл.2019'!O16</f>
        <v>32383.292271698112</v>
      </c>
      <c r="D18" s="23">
        <f>'Общехозяйственные расходы 2019'!R16</f>
        <v>20105.470309433964</v>
      </c>
      <c r="E18" s="24">
        <f t="shared" si="1"/>
        <v>52488.762581132076</v>
      </c>
      <c r="F18" s="42">
        <v>1</v>
      </c>
      <c r="G18" s="56">
        <f t="shared" si="2"/>
        <v>0.9169922117788684</v>
      </c>
      <c r="H18" s="56"/>
      <c r="I18" s="6"/>
    </row>
    <row r="19" spans="1:9" ht="12.75">
      <c r="A19" s="2">
        <f t="shared" si="0"/>
        <v>14</v>
      </c>
      <c r="B19" s="2" t="s">
        <v>23</v>
      </c>
      <c r="C19" s="33">
        <f>'Непосред. связ. с мун. усл.2019'!O17</f>
        <v>22199.570259765624</v>
      </c>
      <c r="D19" s="23">
        <f>'Общехозяйственные расходы 2019'!R17</f>
        <v>9237.9697265625</v>
      </c>
      <c r="E19" s="24">
        <f t="shared" si="1"/>
        <v>31437.539986328124</v>
      </c>
      <c r="F19" s="42">
        <v>1</v>
      </c>
      <c r="G19" s="56">
        <f t="shared" si="2"/>
        <v>0.5492219268913061</v>
      </c>
      <c r="H19" s="56"/>
      <c r="I19" s="6"/>
    </row>
    <row r="20" spans="1:9" ht="12.75">
      <c r="A20" s="2">
        <f t="shared" si="0"/>
        <v>15</v>
      </c>
      <c r="B20" s="2" t="s">
        <v>24</v>
      </c>
      <c r="C20" s="33">
        <f>'Непосред. связ. с мун. усл.2019'!O18</f>
        <v>32949.97621694915</v>
      </c>
      <c r="D20" s="23">
        <f>'Общехозяйственные расходы 2019'!R18</f>
        <v>19887.168305084746</v>
      </c>
      <c r="E20" s="24">
        <f t="shared" si="1"/>
        <v>52837.144522033894</v>
      </c>
      <c r="F20" s="42">
        <v>1</v>
      </c>
      <c r="G20" s="56">
        <f t="shared" si="2"/>
        <v>0.9230785340852398</v>
      </c>
      <c r="H20" s="56"/>
      <c r="I20" s="6"/>
    </row>
    <row r="21" spans="1:9" ht="12.75">
      <c r="A21" s="14">
        <v>15</v>
      </c>
      <c r="B21" s="4" t="s">
        <v>67</v>
      </c>
      <c r="C21" s="67">
        <f>'Непосред. связ. с мун. усл.2019'!O19</f>
        <v>38229.29869515859</v>
      </c>
      <c r="D21" s="67">
        <f>'Общехозяйственные расходы 2019'!R19</f>
        <v>19010.837427045077</v>
      </c>
      <c r="E21" s="24">
        <f t="shared" si="1"/>
        <v>57240.136122203665</v>
      </c>
      <c r="F21" s="43">
        <v>1</v>
      </c>
      <c r="G21" s="68">
        <f t="shared" si="2"/>
        <v>0.9999999322538985</v>
      </c>
      <c r="H21" s="43"/>
      <c r="I21" s="20"/>
    </row>
    <row r="22" spans="1:9" s="62" customFormat="1" ht="12.75">
      <c r="A22" s="60"/>
      <c r="B22" s="83" t="s">
        <v>63</v>
      </c>
      <c r="C22" s="84"/>
      <c r="D22" s="84"/>
      <c r="E22" s="84"/>
      <c r="F22" s="84"/>
      <c r="G22" s="84"/>
      <c r="H22" s="85"/>
      <c r="I22" s="61"/>
    </row>
    <row r="23" spans="1:8" ht="12.75">
      <c r="A23" s="2">
        <v>1</v>
      </c>
      <c r="B23" s="2" t="s">
        <v>25</v>
      </c>
      <c r="C23" s="23">
        <f>'Непосред. связ. с мун. усл.2019'!O20</f>
        <v>35244.9352</v>
      </c>
      <c r="D23" s="23">
        <f>'Общехозяйственные расходы 2019'!R20</f>
        <v>31149.569516279073</v>
      </c>
      <c r="E23" s="24">
        <f t="shared" si="1"/>
        <v>66394.50471627907</v>
      </c>
      <c r="F23" s="42">
        <v>1</v>
      </c>
      <c r="G23" s="56">
        <f>E23/68047.69</f>
        <v>0.9757054900214698</v>
      </c>
      <c r="H23" s="42"/>
    </row>
    <row r="24" spans="1:8" ht="12.75">
      <c r="A24" s="2">
        <f>SUM(A23+1)</f>
        <v>2</v>
      </c>
      <c r="B24" s="2" t="s">
        <v>26</v>
      </c>
      <c r="C24" s="23">
        <f>'Непосред. связ. с мун. усл.2019'!O21</f>
        <v>29805.08559793814</v>
      </c>
      <c r="D24" s="23">
        <f>'Общехозяйственные расходы 2019'!R21</f>
        <v>30653.683030927834</v>
      </c>
      <c r="E24" s="24">
        <f t="shared" si="1"/>
        <v>60458.768628865975</v>
      </c>
      <c r="F24" s="42">
        <v>1</v>
      </c>
      <c r="G24" s="56">
        <f aca="true" t="shared" si="3" ref="G24:G29">E24/68047.69</f>
        <v>0.8884764292346438</v>
      </c>
      <c r="H24" s="42"/>
    </row>
    <row r="25" spans="1:8" ht="12.75">
      <c r="A25" s="2">
        <f>SUM(A24+1)</f>
        <v>3</v>
      </c>
      <c r="B25" s="2" t="s">
        <v>27</v>
      </c>
      <c r="C25" s="23">
        <f>'Непосред. связ. с мун. усл.2019'!O22</f>
        <v>26930.176554054055</v>
      </c>
      <c r="D25" s="23">
        <f>'Общехозяйственные расходы 2019'!R22</f>
        <v>36301.42070270271</v>
      </c>
      <c r="E25" s="24">
        <f t="shared" si="1"/>
        <v>63231.597256756766</v>
      </c>
      <c r="F25" s="42">
        <v>1</v>
      </c>
      <c r="G25" s="56">
        <f t="shared" si="3"/>
        <v>0.9292247430699964</v>
      </c>
      <c r="H25" s="42"/>
    </row>
    <row r="26" spans="1:8" ht="12.75">
      <c r="A26" s="2">
        <f>SUM(A25+1)</f>
        <v>4</v>
      </c>
      <c r="B26" s="2" t="s">
        <v>40</v>
      </c>
      <c r="C26" s="23">
        <f>'Непосред. связ. с мун. усл.2019'!O23</f>
        <v>47008.45993548387</v>
      </c>
      <c r="D26" s="23">
        <f>'Общехозяйственные расходы 2019'!R23</f>
        <v>50864.46281720431</v>
      </c>
      <c r="E26" s="24">
        <f t="shared" si="1"/>
        <v>97872.92275268817</v>
      </c>
      <c r="F26" s="42">
        <v>1</v>
      </c>
      <c r="G26" s="56">
        <f t="shared" si="3"/>
        <v>1.4382989746262977</v>
      </c>
      <c r="H26" s="42"/>
    </row>
    <row r="27" spans="1:8" ht="12.75">
      <c r="A27" s="2">
        <f>SUM(A26+1)</f>
        <v>5</v>
      </c>
      <c r="B27" s="2" t="s">
        <v>42</v>
      </c>
      <c r="C27" s="23">
        <f>'Непосред. связ. с мун. усл.2019'!O24</f>
        <v>31625.60079</v>
      </c>
      <c r="D27" s="23">
        <f>'Общехозяйственные расходы 2019'!R24</f>
        <v>34443.59352</v>
      </c>
      <c r="E27" s="24">
        <f t="shared" si="1"/>
        <v>66069.19431</v>
      </c>
      <c r="F27" s="42">
        <v>1</v>
      </c>
      <c r="G27" s="56">
        <f t="shared" si="3"/>
        <v>0.9709248662224979</v>
      </c>
      <c r="H27" s="42"/>
    </row>
    <row r="28" spans="1:8" ht="12.75">
      <c r="A28" s="2">
        <f>SUM(A27+1)</f>
        <v>6</v>
      </c>
      <c r="B28" s="2" t="s">
        <v>32</v>
      </c>
      <c r="C28" s="23">
        <f>'Непосред. связ. с мун. усл.2019'!O25</f>
        <v>32799.14722222222</v>
      </c>
      <c r="D28" s="23">
        <f>'Общехозяйственные расходы 2019'!R25</f>
        <v>39760.303944444444</v>
      </c>
      <c r="E28" s="24">
        <f t="shared" si="1"/>
        <v>72559.45116666667</v>
      </c>
      <c r="F28" s="42">
        <v>1</v>
      </c>
      <c r="G28" s="56">
        <f t="shared" si="3"/>
        <v>1.0663029291173096</v>
      </c>
      <c r="H28" s="42"/>
    </row>
    <row r="29" spans="1:8" ht="12.75">
      <c r="A29" s="14">
        <v>6</v>
      </c>
      <c r="B29" s="4" t="s">
        <v>68</v>
      </c>
      <c r="C29" s="67">
        <f>'Непосред. связ. с мун. усл.2019'!O26</f>
        <v>32983.28446501128</v>
      </c>
      <c r="D29" s="67">
        <f>'Общехозяйственные расходы 2019'!R26</f>
        <v>35064.40960045147</v>
      </c>
      <c r="E29" s="24">
        <f t="shared" si="1"/>
        <v>68047.69406546275</v>
      </c>
      <c r="F29" s="43">
        <v>1</v>
      </c>
      <c r="G29" s="68">
        <f t="shared" si="3"/>
        <v>1.0000000597443168</v>
      </c>
      <c r="H29" s="43"/>
    </row>
    <row r="30" spans="1:8" s="62" customFormat="1" ht="12.75">
      <c r="A30" s="60"/>
      <c r="B30" s="83" t="s">
        <v>64</v>
      </c>
      <c r="C30" s="84"/>
      <c r="D30" s="84"/>
      <c r="E30" s="84"/>
      <c r="F30" s="84"/>
      <c r="G30" s="84"/>
      <c r="H30" s="85"/>
    </row>
    <row r="31" spans="1:8" ht="12.75">
      <c r="A31" s="2">
        <v>1</v>
      </c>
      <c r="B31" s="39" t="s">
        <v>35</v>
      </c>
      <c r="C31" s="23">
        <f>'Непосред. связ. с мун. усл.2019'!O27</f>
        <v>2216.5511398026315</v>
      </c>
      <c r="D31" s="23">
        <f>'Общехозяйственные расходы 2019'!R27</f>
        <v>899.3075032894737</v>
      </c>
      <c r="E31" s="24">
        <f t="shared" si="1"/>
        <v>3115.858643092105</v>
      </c>
      <c r="F31" s="42">
        <v>1</v>
      </c>
      <c r="G31" s="56">
        <f>E31/9874.82</f>
        <v>0.31553574071143625</v>
      </c>
      <c r="H31" s="42"/>
    </row>
    <row r="32" spans="1:8" ht="12.75">
      <c r="A32" s="2">
        <v>2</v>
      </c>
      <c r="B32" s="41" t="s">
        <v>38</v>
      </c>
      <c r="C32" s="23">
        <f>'Непосред. связ. с мун. усл.2019'!O28</f>
        <v>5122.533737444934</v>
      </c>
      <c r="D32" s="23">
        <f>'Общехозяйственные расходы 2019'!R28</f>
        <v>7742.928246696036</v>
      </c>
      <c r="E32" s="24">
        <f t="shared" si="1"/>
        <v>12865.46198414097</v>
      </c>
      <c r="F32" s="42">
        <v>1</v>
      </c>
      <c r="G32" s="56">
        <f>E32/9874.82</f>
        <v>1.3028553415799953</v>
      </c>
      <c r="H32" s="42"/>
    </row>
    <row r="33" spans="1:8" ht="12.75">
      <c r="A33" s="2">
        <v>3</v>
      </c>
      <c r="B33" s="40" t="s">
        <v>39</v>
      </c>
      <c r="C33" s="23">
        <f>'Непосред. связ. с мун. усл.2019'!O29</f>
        <v>18237.46472324723</v>
      </c>
      <c r="D33" s="23">
        <f>'Общехозяйственные расходы 2019'!R29</f>
        <v>9440.014760147602</v>
      </c>
      <c r="E33" s="24">
        <f t="shared" si="1"/>
        <v>27677.479483394833</v>
      </c>
      <c r="F33" s="42">
        <v>1</v>
      </c>
      <c r="G33" s="56">
        <f>E33/9874.82</f>
        <v>2.802833822124842</v>
      </c>
      <c r="H33" s="42"/>
    </row>
    <row r="34" spans="1:8" ht="12.75">
      <c r="A34" s="14">
        <v>3</v>
      </c>
      <c r="B34" s="4" t="s">
        <v>68</v>
      </c>
      <c r="C34" s="67">
        <f>'Непосред. связ. с мун. усл.2019'!O30</f>
        <v>5130.341311212815</v>
      </c>
      <c r="D34" s="67">
        <f>'Общехозяйственные расходы 2019'!R30</f>
        <v>4744.47958962624</v>
      </c>
      <c r="E34" s="24">
        <f t="shared" si="1"/>
        <v>9874.820900839055</v>
      </c>
      <c r="F34" s="43">
        <v>1</v>
      </c>
      <c r="G34" s="68">
        <f>E34/9874.82</f>
        <v>1.000000091225871</v>
      </c>
      <c r="H34" s="25"/>
    </row>
    <row r="35" spans="2:6" ht="12.75">
      <c r="B35" s="11"/>
      <c r="C35" s="35"/>
      <c r="D35" s="35"/>
      <c r="E35" s="35"/>
      <c r="F35" s="35"/>
    </row>
    <row r="36" spans="2:6" ht="13.5">
      <c r="B36" s="59" t="s">
        <v>81</v>
      </c>
      <c r="C36" s="9"/>
      <c r="F36" s="6"/>
    </row>
    <row r="37" spans="2:3" ht="13.5">
      <c r="B37" s="59"/>
      <c r="C37" s="9"/>
    </row>
    <row r="38" spans="2:4" ht="13.5">
      <c r="B38" s="59" t="s">
        <v>117</v>
      </c>
      <c r="C38" s="66"/>
      <c r="D38" s="62"/>
    </row>
    <row r="39" spans="2:5" ht="17.25" customHeight="1">
      <c r="B39" s="65" t="s">
        <v>124</v>
      </c>
      <c r="C39" s="66"/>
      <c r="D39" s="69"/>
      <c r="E39" s="69" t="s">
        <v>125</v>
      </c>
    </row>
    <row r="40" spans="2:5" ht="12.75">
      <c r="B40" s="65" t="s">
        <v>83</v>
      </c>
      <c r="C40" s="66"/>
      <c r="D40" s="62"/>
      <c r="E40" s="69" t="s">
        <v>120</v>
      </c>
    </row>
    <row r="41" spans="2:4" ht="24.75" customHeight="1">
      <c r="B41" s="59" t="s">
        <v>118</v>
      </c>
      <c r="C41" s="62"/>
      <c r="D41" s="62"/>
    </row>
    <row r="42" spans="2:5" ht="15.75" customHeight="1">
      <c r="B42" s="65" t="s">
        <v>82</v>
      </c>
      <c r="C42" s="66"/>
      <c r="D42" s="69"/>
      <c r="E42" s="69" t="s">
        <v>126</v>
      </c>
    </row>
    <row r="43" spans="2:5" ht="12.75">
      <c r="B43" s="65" t="s">
        <v>83</v>
      </c>
      <c r="C43" s="66"/>
      <c r="D43" s="62"/>
      <c r="E43" s="69" t="s">
        <v>121</v>
      </c>
    </row>
    <row r="44" spans="2:4" ht="30" customHeight="1">
      <c r="B44" s="75" t="s">
        <v>145</v>
      </c>
      <c r="C44" s="62"/>
      <c r="D44" s="62"/>
    </row>
    <row r="45" spans="2:5" ht="16.5" customHeight="1">
      <c r="B45" s="65" t="s">
        <v>82</v>
      </c>
      <c r="C45" s="66"/>
      <c r="D45" s="69"/>
      <c r="E45" s="69" t="s">
        <v>127</v>
      </c>
    </row>
    <row r="46" spans="2:5" ht="12.75">
      <c r="B46" s="65" t="s">
        <v>83</v>
      </c>
      <c r="C46" s="66"/>
      <c r="D46" s="62"/>
      <c r="E46" s="69" t="s">
        <v>122</v>
      </c>
    </row>
  </sheetData>
  <sheetProtection/>
  <mergeCells count="4">
    <mergeCell ref="B5:H5"/>
    <mergeCell ref="B22:H22"/>
    <mergeCell ref="B30:H30"/>
    <mergeCell ref="B2:F2"/>
  </mergeCells>
  <printOptions/>
  <pageMargins left="0.2" right="0.2" top="0.52" bottom="0.49" header="0.5" footer="0.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5" sqref="M25"/>
    </sheetView>
  </sheetViews>
  <sheetFormatPr defaultColWidth="9.00390625" defaultRowHeight="12.75"/>
  <cols>
    <col min="1" max="1" width="3.50390625" style="0" customWidth="1"/>
    <col min="2" max="2" width="27.00390625" style="0" customWidth="1"/>
    <col min="3" max="3" width="10.50390625" style="0" customWidth="1"/>
    <col min="4" max="5" width="9.375" style="0" customWidth="1"/>
    <col min="6" max="6" width="9.50390625" style="0" customWidth="1"/>
    <col min="7" max="7" width="10.125" style="0" customWidth="1"/>
    <col min="8" max="8" width="7.375" style="0" customWidth="1"/>
    <col min="9" max="9" width="8.375" style="0" customWidth="1"/>
    <col min="10" max="10" width="7.375" style="0" customWidth="1"/>
    <col min="11" max="11" width="10.875" style="0" customWidth="1"/>
    <col min="12" max="14" width="9.375" style="0" customWidth="1"/>
    <col min="15" max="15" width="15.375" style="0" customWidth="1"/>
    <col min="16" max="16" width="7.875" style="0" customWidth="1"/>
    <col min="17" max="17" width="6.50390625" style="0" customWidth="1"/>
    <col min="18" max="18" width="7.375" style="0" customWidth="1"/>
    <col min="19" max="19" width="6.50390625" style="0" customWidth="1"/>
    <col min="20" max="21" width="7.50390625" style="0" customWidth="1"/>
    <col min="22" max="22" width="8.50390625" style="0" customWidth="1"/>
    <col min="23" max="23" width="8.125" style="0" customWidth="1"/>
    <col min="24" max="24" width="8.50390625" style="0" customWidth="1"/>
    <col min="26" max="26" width="5.625" style="0" customWidth="1"/>
    <col min="27" max="27" width="6.875" style="0" customWidth="1"/>
    <col min="28" max="28" width="5.375" style="0" customWidth="1"/>
    <col min="29" max="29" width="3.00390625" style="0" customWidth="1"/>
    <col min="30" max="30" width="2.875" style="0" customWidth="1"/>
    <col min="31" max="31" width="2.625" style="0" customWidth="1"/>
    <col min="32" max="32" width="7.625" style="0" customWidth="1"/>
  </cols>
  <sheetData>
    <row r="1" spans="2:3" ht="12.75">
      <c r="B1" s="15"/>
      <c r="C1" s="3" t="s">
        <v>79</v>
      </c>
    </row>
    <row r="2" spans="2:3" ht="12.75">
      <c r="B2" s="3"/>
      <c r="C2" s="3"/>
    </row>
    <row r="3" spans="1:15" ht="78" customHeight="1">
      <c r="A3" s="1"/>
      <c r="B3" s="13" t="s">
        <v>0</v>
      </c>
      <c r="C3" s="7" t="s">
        <v>69</v>
      </c>
      <c r="D3" s="7" t="s">
        <v>70</v>
      </c>
      <c r="E3" s="7" t="s">
        <v>71</v>
      </c>
      <c r="F3" s="7" t="s">
        <v>72</v>
      </c>
      <c r="G3" s="7" t="s">
        <v>107</v>
      </c>
      <c r="H3" s="7" t="s">
        <v>110</v>
      </c>
      <c r="I3" s="7" t="s">
        <v>73</v>
      </c>
      <c r="J3" s="7" t="s">
        <v>108</v>
      </c>
      <c r="K3" s="36" t="s">
        <v>2</v>
      </c>
      <c r="L3" s="7" t="s">
        <v>58</v>
      </c>
      <c r="M3" s="7" t="s">
        <v>60</v>
      </c>
      <c r="N3" s="7" t="s">
        <v>59</v>
      </c>
      <c r="O3" s="57" t="s">
        <v>103</v>
      </c>
    </row>
    <row r="4" spans="1:15" ht="12.75">
      <c r="A4" s="2">
        <v>1</v>
      </c>
      <c r="B4" s="2" t="s">
        <v>7</v>
      </c>
      <c r="C4" s="45">
        <f>'Заработная плата 2019'!J6</f>
        <v>2844068</v>
      </c>
      <c r="D4" s="45">
        <f>'Заработная плата 2019'!K6</f>
        <v>858908.536</v>
      </c>
      <c r="E4" s="45">
        <f>C4+D4</f>
        <v>3702976.536</v>
      </c>
      <c r="F4" s="16">
        <v>22173</v>
      </c>
      <c r="G4" s="27">
        <v>1000</v>
      </c>
      <c r="H4" s="27">
        <v>2000</v>
      </c>
      <c r="I4" s="16">
        <v>10000</v>
      </c>
      <c r="J4" s="16">
        <v>5160</v>
      </c>
      <c r="K4" s="34">
        <f>SUM(E4:J4)</f>
        <v>3743309.536</v>
      </c>
      <c r="L4" s="16">
        <v>36</v>
      </c>
      <c r="M4" s="16">
        <v>22</v>
      </c>
      <c r="N4" s="16">
        <f>L4+M4</f>
        <v>58</v>
      </c>
      <c r="O4" s="37">
        <f>K4/N4</f>
        <v>64539.8195862069</v>
      </c>
    </row>
    <row r="5" spans="1:15" ht="12.75">
      <c r="A5" s="2">
        <f aca="true" t="shared" si="0" ref="A5:A18">SUM(A4+1)</f>
        <v>2</v>
      </c>
      <c r="B5" s="5" t="s">
        <v>8</v>
      </c>
      <c r="C5" s="45">
        <f>'Заработная плата 2019'!J7</f>
        <v>3068081</v>
      </c>
      <c r="D5" s="45">
        <f>'Заработная плата 2019'!K7</f>
        <v>926560.4619999999</v>
      </c>
      <c r="E5" s="45">
        <f aca="true" t="shared" si="1" ref="E5:E29">C5+D5</f>
        <v>3994641.462</v>
      </c>
      <c r="F5" s="16">
        <v>9501</v>
      </c>
      <c r="G5" s="27">
        <v>1000</v>
      </c>
      <c r="H5" s="27">
        <v>10000</v>
      </c>
      <c r="I5" s="16">
        <v>15000</v>
      </c>
      <c r="J5" s="16">
        <v>7982</v>
      </c>
      <c r="K5" s="34">
        <f aca="true" t="shared" si="2" ref="K5:K18">SUM(E5:J5)</f>
        <v>4038124.462</v>
      </c>
      <c r="L5" s="16">
        <v>70</v>
      </c>
      <c r="M5" s="16">
        <v>0</v>
      </c>
      <c r="N5" s="16">
        <f aca="true" t="shared" si="3" ref="N5:N18">L5+M5</f>
        <v>70</v>
      </c>
      <c r="O5" s="37">
        <f aca="true" t="shared" si="4" ref="O5:O30">K5/N5</f>
        <v>57687.492314285715</v>
      </c>
    </row>
    <row r="6" spans="1:15" ht="12.75">
      <c r="A6" s="2">
        <f t="shared" si="0"/>
        <v>3</v>
      </c>
      <c r="B6" s="5" t="s">
        <v>9</v>
      </c>
      <c r="C6" s="45">
        <f>'Заработная плата 2019'!J8</f>
        <v>3454892</v>
      </c>
      <c r="D6" s="45">
        <f>'Заработная плата 2019'!K8</f>
        <v>1043377.384</v>
      </c>
      <c r="E6" s="45">
        <f t="shared" si="1"/>
        <v>4498269.384</v>
      </c>
      <c r="F6" s="16">
        <v>24394</v>
      </c>
      <c r="G6" s="27">
        <v>1000</v>
      </c>
      <c r="H6" s="27">
        <v>3700</v>
      </c>
      <c r="I6" s="16">
        <v>35000</v>
      </c>
      <c r="J6" s="16">
        <v>9025</v>
      </c>
      <c r="K6" s="34">
        <f t="shared" si="2"/>
        <v>4571388.384</v>
      </c>
      <c r="L6" s="16">
        <v>73</v>
      </c>
      <c r="M6" s="16">
        <v>34</v>
      </c>
      <c r="N6" s="16">
        <f t="shared" si="3"/>
        <v>107</v>
      </c>
      <c r="O6" s="37">
        <f t="shared" si="4"/>
        <v>42723.25592523364</v>
      </c>
    </row>
    <row r="7" spans="1:15" ht="12.75">
      <c r="A7" s="2">
        <f t="shared" si="0"/>
        <v>4</v>
      </c>
      <c r="B7" s="5" t="s">
        <v>10</v>
      </c>
      <c r="C7" s="45">
        <f>'Заработная плата 2019'!J9</f>
        <v>4134721</v>
      </c>
      <c r="D7" s="45">
        <f>'Заработная плата 2019'!K9</f>
        <v>1248685.7419999999</v>
      </c>
      <c r="E7" s="45">
        <f t="shared" si="1"/>
        <v>5383406.742</v>
      </c>
      <c r="F7" s="16">
        <v>11624</v>
      </c>
      <c r="G7" s="27">
        <v>1500</v>
      </c>
      <c r="H7" s="27">
        <v>2300</v>
      </c>
      <c r="I7" s="16">
        <v>40000</v>
      </c>
      <c r="J7" s="16">
        <v>10871</v>
      </c>
      <c r="K7" s="34">
        <f t="shared" si="2"/>
        <v>5449701.742</v>
      </c>
      <c r="L7" s="16">
        <v>87</v>
      </c>
      <c r="M7" s="16">
        <v>15</v>
      </c>
      <c r="N7" s="16">
        <f t="shared" si="3"/>
        <v>102</v>
      </c>
      <c r="O7" s="37">
        <f t="shared" si="4"/>
        <v>53428.44845098039</v>
      </c>
    </row>
    <row r="8" spans="1:15" ht="12.75">
      <c r="A8" s="2">
        <f t="shared" si="0"/>
        <v>5</v>
      </c>
      <c r="B8" s="5" t="s">
        <v>12</v>
      </c>
      <c r="C8" s="45">
        <f>'Заработная плата 2019'!J10</f>
        <v>3627809</v>
      </c>
      <c r="D8" s="45">
        <f>'Заработная плата 2019'!K10</f>
        <v>1095598.318</v>
      </c>
      <c r="E8" s="45">
        <f t="shared" si="1"/>
        <v>4723407.318</v>
      </c>
      <c r="F8" s="16">
        <v>13500</v>
      </c>
      <c r="G8" s="27">
        <v>1250</v>
      </c>
      <c r="H8" s="27">
        <v>10000</v>
      </c>
      <c r="I8" s="16">
        <v>20000</v>
      </c>
      <c r="J8" s="16">
        <v>6015</v>
      </c>
      <c r="K8" s="34">
        <f t="shared" si="2"/>
        <v>4774172.318</v>
      </c>
      <c r="L8" s="16">
        <v>62</v>
      </c>
      <c r="M8" s="16">
        <v>15</v>
      </c>
      <c r="N8" s="16">
        <f t="shared" si="3"/>
        <v>77</v>
      </c>
      <c r="O8" s="37">
        <f t="shared" si="4"/>
        <v>62002.23789610389</v>
      </c>
    </row>
    <row r="9" spans="1:15" ht="12.75">
      <c r="A9" s="2">
        <f t="shared" si="0"/>
        <v>6</v>
      </c>
      <c r="B9" s="5" t="s">
        <v>14</v>
      </c>
      <c r="C9" s="45">
        <f>'Заработная плата 2019'!J11</f>
        <v>5801761</v>
      </c>
      <c r="D9" s="45">
        <f>'Заработная плата 2019'!K11</f>
        <v>1752131.822</v>
      </c>
      <c r="E9" s="45">
        <f t="shared" si="1"/>
        <v>7553892.822</v>
      </c>
      <c r="F9" s="16">
        <v>15660</v>
      </c>
      <c r="G9" s="27">
        <v>2000</v>
      </c>
      <c r="H9" s="27">
        <v>7000</v>
      </c>
      <c r="I9" s="16">
        <v>70000</v>
      </c>
      <c r="J9" s="16">
        <v>4191</v>
      </c>
      <c r="K9" s="34">
        <f t="shared" si="2"/>
        <v>7652743.822</v>
      </c>
      <c r="L9" s="16">
        <v>121</v>
      </c>
      <c r="M9" s="16">
        <v>29</v>
      </c>
      <c r="N9" s="16">
        <f t="shared" si="3"/>
        <v>150</v>
      </c>
      <c r="O9" s="37">
        <f t="shared" si="4"/>
        <v>51018.29214666667</v>
      </c>
    </row>
    <row r="10" spans="1:15" ht="12.75">
      <c r="A10" s="2">
        <f t="shared" si="0"/>
        <v>7</v>
      </c>
      <c r="B10" s="5" t="s">
        <v>15</v>
      </c>
      <c r="C10" s="45">
        <f>'Заработная плата 2019'!J12</f>
        <v>6159231</v>
      </c>
      <c r="D10" s="45">
        <f>'Заработная плата 2019'!K12</f>
        <v>1860087.7619999999</v>
      </c>
      <c r="E10" s="45">
        <f t="shared" si="1"/>
        <v>8019318.762</v>
      </c>
      <c r="F10" s="16">
        <v>11894</v>
      </c>
      <c r="G10" s="27">
        <v>2000</v>
      </c>
      <c r="H10" s="27">
        <v>10000</v>
      </c>
      <c r="I10" s="16">
        <v>90000</v>
      </c>
      <c r="J10" s="16">
        <v>13209</v>
      </c>
      <c r="K10" s="34">
        <f t="shared" si="2"/>
        <v>8146421.762</v>
      </c>
      <c r="L10" s="16">
        <v>177</v>
      </c>
      <c r="M10" s="16">
        <v>21</v>
      </c>
      <c r="N10" s="16">
        <f t="shared" si="3"/>
        <v>198</v>
      </c>
      <c r="O10" s="37">
        <f t="shared" si="4"/>
        <v>41143.54425252525</v>
      </c>
    </row>
    <row r="11" spans="1:15" ht="12.75">
      <c r="A11" s="2">
        <f t="shared" si="0"/>
        <v>8</v>
      </c>
      <c r="B11" s="5" t="s">
        <v>17</v>
      </c>
      <c r="C11" s="45">
        <f>'Заработная плата 2019'!J13</f>
        <v>3274488</v>
      </c>
      <c r="D11" s="45">
        <f>'Заработная плата 2019'!K13</f>
        <v>988895.3759999999</v>
      </c>
      <c r="E11" s="45">
        <f t="shared" si="1"/>
        <v>4263383.376</v>
      </c>
      <c r="F11" s="16">
        <v>12000</v>
      </c>
      <c r="G11" s="27">
        <v>1000</v>
      </c>
      <c r="H11" s="27">
        <v>3000</v>
      </c>
      <c r="I11" s="16">
        <v>38000</v>
      </c>
      <c r="J11" s="16">
        <v>5198</v>
      </c>
      <c r="K11" s="34">
        <f t="shared" si="2"/>
        <v>4322581.376</v>
      </c>
      <c r="L11" s="16">
        <v>69</v>
      </c>
      <c r="M11" s="16">
        <v>20</v>
      </c>
      <c r="N11" s="16">
        <f t="shared" si="3"/>
        <v>89</v>
      </c>
      <c r="O11" s="37">
        <f t="shared" si="4"/>
        <v>48568.33006741573</v>
      </c>
    </row>
    <row r="12" spans="1:15" ht="12.75">
      <c r="A12" s="2">
        <f t="shared" si="0"/>
        <v>9</v>
      </c>
      <c r="B12" s="5" t="s">
        <v>18</v>
      </c>
      <c r="C12" s="45">
        <f>'Заработная плата 2019'!J14</f>
        <v>6848469</v>
      </c>
      <c r="D12" s="45">
        <f>'Заработная плата 2019'!K14</f>
        <v>2068237.638</v>
      </c>
      <c r="E12" s="45">
        <f t="shared" si="1"/>
        <v>8916706.638</v>
      </c>
      <c r="F12" s="16">
        <v>30900</v>
      </c>
      <c r="G12" s="27">
        <v>2000</v>
      </c>
      <c r="H12" s="27">
        <v>7000</v>
      </c>
      <c r="I12" s="16">
        <v>55000</v>
      </c>
      <c r="J12" s="16">
        <v>12971</v>
      </c>
      <c r="K12" s="34">
        <f t="shared" si="2"/>
        <v>9024577.638</v>
      </c>
      <c r="L12" s="16">
        <v>125</v>
      </c>
      <c r="M12" s="16">
        <v>37</v>
      </c>
      <c r="N12" s="16">
        <f t="shared" si="3"/>
        <v>162</v>
      </c>
      <c r="O12" s="37">
        <f t="shared" si="4"/>
        <v>55707.26937037037</v>
      </c>
    </row>
    <row r="13" spans="1:15" ht="12.75">
      <c r="A13" s="2">
        <f t="shared" si="0"/>
        <v>10</v>
      </c>
      <c r="B13" s="5" t="s">
        <v>19</v>
      </c>
      <c r="C13" s="45">
        <f>'Заработная плата 2019'!J15</f>
        <v>5013873</v>
      </c>
      <c r="D13" s="45">
        <f>'Заработная плата 2019'!K15</f>
        <v>1514189.646</v>
      </c>
      <c r="E13" s="45">
        <f t="shared" si="1"/>
        <v>6528062.646</v>
      </c>
      <c r="F13" s="16">
        <v>22000</v>
      </c>
      <c r="G13" s="27">
        <v>1000</v>
      </c>
      <c r="H13" s="27">
        <v>15000</v>
      </c>
      <c r="I13" s="16">
        <v>45000</v>
      </c>
      <c r="J13" s="16">
        <v>6959</v>
      </c>
      <c r="K13" s="34">
        <f t="shared" si="2"/>
        <v>6618021.646</v>
      </c>
      <c r="L13" s="16">
        <v>108</v>
      </c>
      <c r="M13" s="16">
        <v>28</v>
      </c>
      <c r="N13" s="16">
        <f t="shared" si="3"/>
        <v>136</v>
      </c>
      <c r="O13" s="37">
        <f t="shared" si="4"/>
        <v>48661.923867647056</v>
      </c>
    </row>
    <row r="14" spans="1:15" ht="12.75">
      <c r="A14" s="2">
        <f t="shared" si="0"/>
        <v>11</v>
      </c>
      <c r="B14" s="5" t="s">
        <v>20</v>
      </c>
      <c r="C14" s="45">
        <f>'Заработная плата 2019'!J16</f>
        <v>3189886</v>
      </c>
      <c r="D14" s="45">
        <f>'Заработная плата 2019'!K16</f>
        <v>963345.5719999999</v>
      </c>
      <c r="E14" s="45">
        <f t="shared" si="1"/>
        <v>4153231.5719999997</v>
      </c>
      <c r="F14" s="16">
        <v>12500</v>
      </c>
      <c r="G14" s="27">
        <v>1000</v>
      </c>
      <c r="H14" s="27">
        <v>3000</v>
      </c>
      <c r="I14" s="16">
        <v>15000</v>
      </c>
      <c r="J14" s="16">
        <v>5830</v>
      </c>
      <c r="K14" s="34">
        <f t="shared" si="2"/>
        <v>4190561.5719999997</v>
      </c>
      <c r="L14" s="16">
        <v>43</v>
      </c>
      <c r="M14" s="16">
        <v>13</v>
      </c>
      <c r="N14" s="16">
        <f t="shared" si="3"/>
        <v>56</v>
      </c>
      <c r="O14" s="37">
        <f t="shared" si="4"/>
        <v>74831.45664285714</v>
      </c>
    </row>
    <row r="15" spans="1:15" ht="12.75">
      <c r="A15" s="2">
        <f t="shared" si="0"/>
        <v>12</v>
      </c>
      <c r="B15" s="2" t="s">
        <v>21</v>
      </c>
      <c r="C15" s="45">
        <f>'Заработная плата 2019'!J17</f>
        <v>8289576</v>
      </c>
      <c r="D15" s="45">
        <f>'Заработная плата 2019'!K17</f>
        <v>2503451.952</v>
      </c>
      <c r="E15" s="45">
        <f t="shared" si="1"/>
        <v>10793027.952</v>
      </c>
      <c r="F15" s="16">
        <v>25002</v>
      </c>
      <c r="G15" s="27">
        <v>2000</v>
      </c>
      <c r="H15" s="27">
        <v>15000</v>
      </c>
      <c r="I15" s="16">
        <v>82940</v>
      </c>
      <c r="J15" s="16">
        <v>13000</v>
      </c>
      <c r="K15" s="34">
        <f t="shared" si="2"/>
        <v>10930969.952</v>
      </c>
      <c r="L15" s="16">
        <v>155</v>
      </c>
      <c r="M15" s="16">
        <v>51</v>
      </c>
      <c r="N15" s="16">
        <f t="shared" si="3"/>
        <v>206</v>
      </c>
      <c r="O15" s="37">
        <f t="shared" si="4"/>
        <v>53062.96093203883</v>
      </c>
    </row>
    <row r="16" spans="1:15" ht="12.75">
      <c r="A16" s="2">
        <f t="shared" si="0"/>
        <v>13</v>
      </c>
      <c r="B16" s="2" t="s">
        <v>22</v>
      </c>
      <c r="C16" s="45">
        <f>'Заработная плата 2019'!J18</f>
        <v>6450326</v>
      </c>
      <c r="D16" s="45">
        <f>'Заработная плата 2019'!K18</f>
        <v>1947998.452</v>
      </c>
      <c r="E16" s="45">
        <f t="shared" si="1"/>
        <v>8398324.452</v>
      </c>
      <c r="F16" s="16">
        <v>19000</v>
      </c>
      <c r="G16" s="27">
        <v>2000</v>
      </c>
      <c r="H16" s="27">
        <v>20000</v>
      </c>
      <c r="I16" s="16">
        <v>130000</v>
      </c>
      <c r="J16" s="16">
        <v>12248</v>
      </c>
      <c r="K16" s="34">
        <f t="shared" si="2"/>
        <v>8581572.452</v>
      </c>
      <c r="L16" s="16">
        <v>265</v>
      </c>
      <c r="M16" s="16">
        <v>0</v>
      </c>
      <c r="N16" s="16">
        <f t="shared" si="3"/>
        <v>265</v>
      </c>
      <c r="O16" s="37">
        <f t="shared" si="4"/>
        <v>32383.292271698112</v>
      </c>
    </row>
    <row r="17" spans="1:15" ht="12.75">
      <c r="A17" s="2">
        <f t="shared" si="0"/>
        <v>14</v>
      </c>
      <c r="B17" s="2" t="s">
        <v>23</v>
      </c>
      <c r="C17" s="45">
        <f>'Заработная плата 2019'!J19</f>
        <v>16971023</v>
      </c>
      <c r="D17" s="45">
        <f>'Заработная плата 2019'!K19</f>
        <v>5125248.9459999995</v>
      </c>
      <c r="E17" s="45">
        <f t="shared" si="1"/>
        <v>22096271.946</v>
      </c>
      <c r="F17" s="16">
        <v>58000</v>
      </c>
      <c r="G17" s="27">
        <v>10000</v>
      </c>
      <c r="H17" s="27">
        <v>100000</v>
      </c>
      <c r="I17" s="16">
        <v>350000</v>
      </c>
      <c r="J17" s="16">
        <v>118088</v>
      </c>
      <c r="K17" s="34">
        <f t="shared" si="2"/>
        <v>22732359.946</v>
      </c>
      <c r="L17" s="16">
        <v>1024</v>
      </c>
      <c r="M17" s="16">
        <v>0</v>
      </c>
      <c r="N17" s="16">
        <f t="shared" si="3"/>
        <v>1024</v>
      </c>
      <c r="O17" s="37">
        <f t="shared" si="4"/>
        <v>22199.570259765624</v>
      </c>
    </row>
    <row r="18" spans="1:15" ht="12.75">
      <c r="A18" s="2">
        <f t="shared" si="0"/>
        <v>15</v>
      </c>
      <c r="B18" s="2" t="s">
        <v>24</v>
      </c>
      <c r="C18" s="45">
        <f>'Заработная плата 2019'!J20</f>
        <v>7339192</v>
      </c>
      <c r="D18" s="45">
        <f>'Заработная плата 2019'!K20</f>
        <v>2216435.9839999997</v>
      </c>
      <c r="E18" s="45">
        <f t="shared" si="1"/>
        <v>9555627.984</v>
      </c>
      <c r="F18" s="16">
        <v>20000</v>
      </c>
      <c r="G18" s="27">
        <v>2000</v>
      </c>
      <c r="H18" s="27">
        <v>20000</v>
      </c>
      <c r="I18" s="16">
        <v>110000</v>
      </c>
      <c r="J18" s="16">
        <v>12615</v>
      </c>
      <c r="K18" s="34">
        <f t="shared" si="2"/>
        <v>9720242.984</v>
      </c>
      <c r="L18" s="16">
        <v>295</v>
      </c>
      <c r="M18" s="16">
        <v>0</v>
      </c>
      <c r="N18" s="16">
        <f t="shared" si="3"/>
        <v>295</v>
      </c>
      <c r="O18" s="37">
        <f t="shared" si="4"/>
        <v>32949.97621694915</v>
      </c>
    </row>
    <row r="19" spans="1:15" ht="12.75">
      <c r="A19" s="14">
        <v>15</v>
      </c>
      <c r="B19" s="4" t="s">
        <v>1</v>
      </c>
      <c r="C19" s="17">
        <f aca="true" t="shared" si="5" ref="C19:N19">SUM(C4:C18)</f>
        <v>86467396</v>
      </c>
      <c r="D19" s="17">
        <f t="shared" si="5"/>
        <v>26113153.592</v>
      </c>
      <c r="E19" s="17">
        <f t="shared" si="5"/>
        <v>112580549.592</v>
      </c>
      <c r="F19" s="17">
        <f t="shared" si="5"/>
        <v>308148</v>
      </c>
      <c r="G19" s="17">
        <f t="shared" si="5"/>
        <v>30750</v>
      </c>
      <c r="H19" s="17">
        <f t="shared" si="5"/>
        <v>228000</v>
      </c>
      <c r="I19" s="17">
        <f t="shared" si="5"/>
        <v>1105940</v>
      </c>
      <c r="J19" s="17">
        <f t="shared" si="5"/>
        <v>243362</v>
      </c>
      <c r="K19" s="17">
        <f t="shared" si="5"/>
        <v>114496749.592</v>
      </c>
      <c r="L19" s="17">
        <f t="shared" si="5"/>
        <v>2710</v>
      </c>
      <c r="M19" s="17">
        <f t="shared" si="5"/>
        <v>285</v>
      </c>
      <c r="N19" s="17">
        <f t="shared" si="5"/>
        <v>2995</v>
      </c>
      <c r="O19" s="58">
        <f t="shared" si="4"/>
        <v>38229.29869515859</v>
      </c>
    </row>
    <row r="20" spans="1:15" ht="12.75">
      <c r="A20" s="2">
        <v>1</v>
      </c>
      <c r="B20" s="2" t="s">
        <v>25</v>
      </c>
      <c r="C20" s="45">
        <f>'Заработная плата 2019'!J22</f>
        <v>5636434</v>
      </c>
      <c r="D20" s="45">
        <f>'Заработная плата 2019'!K22</f>
        <v>1702203.068</v>
      </c>
      <c r="E20" s="45">
        <f t="shared" si="1"/>
        <v>7338637.068</v>
      </c>
      <c r="F20" s="16">
        <v>11894</v>
      </c>
      <c r="G20" s="27">
        <v>1000</v>
      </c>
      <c r="H20" s="27">
        <v>0</v>
      </c>
      <c r="I20" s="16">
        <v>80000</v>
      </c>
      <c r="J20" s="16">
        <v>146130</v>
      </c>
      <c r="K20" s="34">
        <f aca="true" t="shared" si="6" ref="K20:K25">SUM(E20:J20)</f>
        <v>7577661.068</v>
      </c>
      <c r="L20" s="16">
        <v>215</v>
      </c>
      <c r="M20" s="16"/>
      <c r="N20" s="16">
        <f aca="true" t="shared" si="7" ref="N20:N25">L20+M20</f>
        <v>215</v>
      </c>
      <c r="O20" s="37">
        <f t="shared" si="4"/>
        <v>35244.9352</v>
      </c>
    </row>
    <row r="21" spans="1:15" ht="12.75">
      <c r="A21" s="2">
        <f>SUM(A20+1)</f>
        <v>2</v>
      </c>
      <c r="B21" s="2" t="s">
        <v>26</v>
      </c>
      <c r="C21" s="45">
        <f>'Заработная плата 2019'!J23</f>
        <v>4275353</v>
      </c>
      <c r="D21" s="45">
        <f>'Заработная плата 2019'!K23</f>
        <v>1291156.606</v>
      </c>
      <c r="E21" s="45">
        <f t="shared" si="1"/>
        <v>5566509.606</v>
      </c>
      <c r="F21" s="16">
        <v>9000</v>
      </c>
      <c r="G21" s="27">
        <v>1000</v>
      </c>
      <c r="H21" s="27">
        <v>0</v>
      </c>
      <c r="I21" s="16">
        <v>80000</v>
      </c>
      <c r="J21" s="16">
        <v>125677</v>
      </c>
      <c r="K21" s="34">
        <f t="shared" si="6"/>
        <v>5782186.606</v>
      </c>
      <c r="L21" s="16">
        <v>194</v>
      </c>
      <c r="M21" s="16"/>
      <c r="N21" s="16">
        <f t="shared" si="7"/>
        <v>194</v>
      </c>
      <c r="O21" s="37">
        <f t="shared" si="4"/>
        <v>29805.08559793814</v>
      </c>
    </row>
    <row r="22" spans="1:15" ht="12.75">
      <c r="A22" s="2">
        <f>SUM(A21+1)</f>
        <v>3</v>
      </c>
      <c r="B22" s="2" t="s">
        <v>27</v>
      </c>
      <c r="C22" s="45">
        <f>'Заработная плата 2019'!J24</f>
        <v>2934815</v>
      </c>
      <c r="D22" s="45">
        <f>'Заработная плата 2019'!K24</f>
        <v>886314.13</v>
      </c>
      <c r="E22" s="45">
        <f t="shared" si="1"/>
        <v>3821129.13</v>
      </c>
      <c r="F22" s="16">
        <v>10337</v>
      </c>
      <c r="G22" s="27">
        <v>1000</v>
      </c>
      <c r="H22" s="27">
        <v>0</v>
      </c>
      <c r="I22" s="16">
        <v>50000</v>
      </c>
      <c r="J22" s="16">
        <v>103200</v>
      </c>
      <c r="K22" s="34">
        <f t="shared" si="6"/>
        <v>3985666.13</v>
      </c>
      <c r="L22" s="16">
        <v>148</v>
      </c>
      <c r="M22" s="16"/>
      <c r="N22" s="16">
        <f t="shared" si="7"/>
        <v>148</v>
      </c>
      <c r="O22" s="37">
        <f t="shared" si="4"/>
        <v>26930.176554054055</v>
      </c>
    </row>
    <row r="23" spans="1:15" ht="12.75">
      <c r="A23" s="2">
        <f>SUM(A22+1)</f>
        <v>4</v>
      </c>
      <c r="B23" s="2" t="s">
        <v>40</v>
      </c>
      <c r="C23" s="45">
        <f>'Заработная плата 2019'!J25</f>
        <v>3278337</v>
      </c>
      <c r="D23" s="45">
        <f>'Заработная плата 2019'!K25</f>
        <v>990057.774</v>
      </c>
      <c r="E23" s="45">
        <f t="shared" si="1"/>
        <v>4268394.774</v>
      </c>
      <c r="F23" s="16">
        <v>9000</v>
      </c>
      <c r="G23" s="27">
        <v>1000</v>
      </c>
      <c r="H23" s="27">
        <v>0</v>
      </c>
      <c r="I23" s="16">
        <v>30000</v>
      </c>
      <c r="J23" s="16">
        <v>63392</v>
      </c>
      <c r="K23" s="34">
        <f t="shared" si="6"/>
        <v>4371786.774</v>
      </c>
      <c r="L23" s="16">
        <v>93</v>
      </c>
      <c r="M23" s="16"/>
      <c r="N23" s="16">
        <f t="shared" si="7"/>
        <v>93</v>
      </c>
      <c r="O23" s="37">
        <f t="shared" si="4"/>
        <v>47008.45993548387</v>
      </c>
    </row>
    <row r="24" spans="1:15" ht="12.75">
      <c r="A24" s="2">
        <f>SUM(A23+1)</f>
        <v>5</v>
      </c>
      <c r="B24" s="2" t="s">
        <v>42</v>
      </c>
      <c r="C24" s="45">
        <f>'Заработная плата 2019'!J26</f>
        <v>4687229</v>
      </c>
      <c r="D24" s="45">
        <f>'Заработная плата 2019'!K26</f>
        <v>1415543.158</v>
      </c>
      <c r="E24" s="45">
        <f t="shared" si="1"/>
        <v>6102772.158</v>
      </c>
      <c r="F24" s="16">
        <v>10337</v>
      </c>
      <c r="G24" s="27">
        <v>1000</v>
      </c>
      <c r="H24" s="27">
        <v>0</v>
      </c>
      <c r="I24" s="16">
        <v>80000</v>
      </c>
      <c r="J24" s="16">
        <v>131011</v>
      </c>
      <c r="K24" s="34">
        <f t="shared" si="6"/>
        <v>6325120.158</v>
      </c>
      <c r="L24" s="16">
        <v>200</v>
      </c>
      <c r="M24" s="16"/>
      <c r="N24" s="16">
        <f t="shared" si="7"/>
        <v>200</v>
      </c>
      <c r="O24" s="37">
        <f t="shared" si="4"/>
        <v>31625.60079</v>
      </c>
    </row>
    <row r="25" spans="1:15" ht="12.75">
      <c r="A25" s="2">
        <f>SUM(A24+1)</f>
        <v>6</v>
      </c>
      <c r="B25" s="2" t="s">
        <v>32</v>
      </c>
      <c r="C25" s="45">
        <f>'Заработная плата 2019'!J27</f>
        <v>876150</v>
      </c>
      <c r="D25" s="45">
        <f>'Заработная плата 2019'!K27</f>
        <v>264597.3</v>
      </c>
      <c r="E25" s="45">
        <f t="shared" si="1"/>
        <v>1140747.3</v>
      </c>
      <c r="F25" s="16">
        <v>7080</v>
      </c>
      <c r="G25" s="27">
        <v>500</v>
      </c>
      <c r="H25" s="27">
        <v>0</v>
      </c>
      <c r="I25" s="16">
        <v>10000</v>
      </c>
      <c r="J25" s="16">
        <v>22442</v>
      </c>
      <c r="K25" s="34">
        <f t="shared" si="6"/>
        <v>1180769.3</v>
      </c>
      <c r="L25" s="16">
        <v>36</v>
      </c>
      <c r="M25" s="16"/>
      <c r="N25" s="16">
        <f t="shared" si="7"/>
        <v>36</v>
      </c>
      <c r="O25" s="37">
        <f t="shared" si="4"/>
        <v>32799.14722222222</v>
      </c>
    </row>
    <row r="26" spans="1:15" ht="12.75">
      <c r="A26" s="14">
        <v>6</v>
      </c>
      <c r="B26" s="4" t="s">
        <v>1</v>
      </c>
      <c r="C26" s="17">
        <f aca="true" t="shared" si="8" ref="C26:N26">SUM(C20:C25)</f>
        <v>21688318</v>
      </c>
      <c r="D26" s="17">
        <f t="shared" si="8"/>
        <v>6549872.035999999</v>
      </c>
      <c r="E26" s="17">
        <f t="shared" si="8"/>
        <v>28238190.036</v>
      </c>
      <c r="F26" s="17">
        <f t="shared" si="8"/>
        <v>57648</v>
      </c>
      <c r="G26" s="17">
        <f t="shared" si="8"/>
        <v>5500</v>
      </c>
      <c r="H26" s="17">
        <f t="shared" si="8"/>
        <v>0</v>
      </c>
      <c r="I26" s="17">
        <f t="shared" si="8"/>
        <v>330000</v>
      </c>
      <c r="J26" s="17">
        <f t="shared" si="8"/>
        <v>591852</v>
      </c>
      <c r="K26" s="17">
        <f t="shared" si="8"/>
        <v>29223190.036</v>
      </c>
      <c r="L26" s="17">
        <f t="shared" si="8"/>
        <v>886</v>
      </c>
      <c r="M26" s="17">
        <f t="shared" si="8"/>
        <v>0</v>
      </c>
      <c r="N26" s="17">
        <f t="shared" si="8"/>
        <v>886</v>
      </c>
      <c r="O26" s="58">
        <f t="shared" si="4"/>
        <v>32983.28446501128</v>
      </c>
    </row>
    <row r="27" spans="1:15" ht="12.75">
      <c r="A27" s="2">
        <v>1</v>
      </c>
      <c r="B27" s="39" t="s">
        <v>35</v>
      </c>
      <c r="C27" s="16">
        <f>'Заработная плата 2019'!J29</f>
        <v>2070143</v>
      </c>
      <c r="D27" s="16">
        <f>'Заработная плата 2019'!K29</f>
        <v>625183.186</v>
      </c>
      <c r="E27" s="45">
        <f t="shared" si="1"/>
        <v>2695326.1859999998</v>
      </c>
      <c r="F27" s="16"/>
      <c r="G27" s="16">
        <v>0</v>
      </c>
      <c r="H27" s="16">
        <v>0</v>
      </c>
      <c r="I27" s="16"/>
      <c r="J27" s="16"/>
      <c r="K27" s="34">
        <f>SUM(E27:J27)</f>
        <v>2695326.1859999998</v>
      </c>
      <c r="L27" s="16">
        <v>1216</v>
      </c>
      <c r="M27" s="16"/>
      <c r="N27" s="16">
        <f>L27+M27</f>
        <v>1216</v>
      </c>
      <c r="O27" s="37">
        <f t="shared" si="4"/>
        <v>2216.5511398026315</v>
      </c>
    </row>
    <row r="28" spans="1:15" ht="12.75">
      <c r="A28" s="2">
        <f>SUM(A27+1)</f>
        <v>2</v>
      </c>
      <c r="B28" s="41" t="s">
        <v>38</v>
      </c>
      <c r="C28" s="45">
        <f>'Заработная плата 2019'!J30+'Заработная плата 2019'!J31</f>
        <v>4465496</v>
      </c>
      <c r="D28" s="45">
        <f>'Заработная плата 2019'!K30+'Заработная плата 2019'!K31</f>
        <v>1348579.792</v>
      </c>
      <c r="E28" s="45">
        <f t="shared" si="1"/>
        <v>5814075.791999999</v>
      </c>
      <c r="F28" s="16"/>
      <c r="G28" s="16">
        <v>0</v>
      </c>
      <c r="H28" s="16">
        <v>0</v>
      </c>
      <c r="I28" s="16"/>
      <c r="J28" s="16"/>
      <c r="K28" s="34">
        <f>SUM(E28:J28)</f>
        <v>5814075.791999999</v>
      </c>
      <c r="L28" s="16">
        <v>1135</v>
      </c>
      <c r="M28" s="16"/>
      <c r="N28" s="16">
        <f>L28+M28</f>
        <v>1135</v>
      </c>
      <c r="O28" s="37">
        <f t="shared" si="4"/>
        <v>5122.533737444934</v>
      </c>
    </row>
    <row r="29" spans="1:15" ht="12.75">
      <c r="A29" s="2">
        <f>SUM(A28+1)</f>
        <v>3</v>
      </c>
      <c r="B29" s="40" t="s">
        <v>39</v>
      </c>
      <c r="C29" s="16">
        <f>'Заработная плата 2019'!J32</f>
        <v>3795970</v>
      </c>
      <c r="D29" s="16">
        <f>'Заработная плата 2019'!K32</f>
        <v>1146382.94</v>
      </c>
      <c r="E29" s="45">
        <f t="shared" si="1"/>
        <v>4942352.9399999995</v>
      </c>
      <c r="F29" s="16"/>
      <c r="G29" s="16">
        <v>0</v>
      </c>
      <c r="H29" s="16">
        <v>0</v>
      </c>
      <c r="I29" s="16"/>
      <c r="J29" s="16"/>
      <c r="K29" s="34">
        <f>SUM(E29:J29)</f>
        <v>4942352.9399999995</v>
      </c>
      <c r="L29" s="16">
        <v>271</v>
      </c>
      <c r="M29" s="55"/>
      <c r="N29" s="16">
        <f>L29+M29</f>
        <v>271</v>
      </c>
      <c r="O29" s="37">
        <f t="shared" si="4"/>
        <v>18237.46472324723</v>
      </c>
    </row>
    <row r="30" spans="1:15" ht="12.75">
      <c r="A30" s="14">
        <v>3</v>
      </c>
      <c r="B30" s="4" t="s">
        <v>1</v>
      </c>
      <c r="C30" s="28">
        <f aca="true" t="shared" si="9" ref="C30:N30">SUM(C27:C29)</f>
        <v>10331609</v>
      </c>
      <c r="D30" s="28">
        <f t="shared" si="9"/>
        <v>3120145.9179999996</v>
      </c>
      <c r="E30" s="28">
        <f t="shared" si="9"/>
        <v>13451754.918</v>
      </c>
      <c r="F30" s="28">
        <f t="shared" si="9"/>
        <v>0</v>
      </c>
      <c r="G30" s="28">
        <f t="shared" si="9"/>
        <v>0</v>
      </c>
      <c r="H30" s="28">
        <f t="shared" si="9"/>
        <v>0</v>
      </c>
      <c r="I30" s="28">
        <f t="shared" si="9"/>
        <v>0</v>
      </c>
      <c r="J30" s="28">
        <f t="shared" si="9"/>
        <v>0</v>
      </c>
      <c r="K30" s="28">
        <f t="shared" si="9"/>
        <v>13451754.918</v>
      </c>
      <c r="L30" s="28">
        <f t="shared" si="9"/>
        <v>2622</v>
      </c>
      <c r="M30" s="28">
        <f t="shared" si="9"/>
        <v>0</v>
      </c>
      <c r="N30" s="28">
        <f t="shared" si="9"/>
        <v>2622</v>
      </c>
      <c r="O30" s="58">
        <f t="shared" si="4"/>
        <v>5130.341311212815</v>
      </c>
    </row>
    <row r="31" spans="2:16" ht="12.75">
      <c r="B31" s="1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ht="13.5">
      <c r="B32" s="59" t="s">
        <v>84</v>
      </c>
    </row>
    <row r="33" spans="2:9" ht="12.75" customHeight="1">
      <c r="B33" s="59"/>
      <c r="C33" s="9"/>
      <c r="I33" s="6"/>
    </row>
    <row r="34" spans="2:5" ht="12.75">
      <c r="B34" s="65" t="s">
        <v>114</v>
      </c>
      <c r="C34" s="70"/>
      <c r="D34" s="70"/>
      <c r="E34" s="70"/>
    </row>
    <row r="35" spans="2:5" ht="12.75">
      <c r="B35" s="65" t="s">
        <v>115</v>
      </c>
      <c r="C35" s="70"/>
      <c r="D35" s="70"/>
      <c r="E35" s="70"/>
    </row>
    <row r="36" spans="2:5" ht="12.75">
      <c r="B36" s="72" t="s">
        <v>116</v>
      </c>
      <c r="C36" s="70"/>
      <c r="D36" s="70"/>
      <c r="E36" s="70"/>
    </row>
  </sheetData>
  <sheetProtection/>
  <printOptions/>
  <pageMargins left="0.2" right="0.2" top="0.52" bottom="0.49" header="0.5" footer="0.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7" sqref="B37"/>
    </sheetView>
  </sheetViews>
  <sheetFormatPr defaultColWidth="9.00390625" defaultRowHeight="12.75"/>
  <cols>
    <col min="1" max="1" width="3.50390625" style="0" customWidth="1"/>
    <col min="2" max="2" width="29.00390625" style="0" customWidth="1"/>
    <col min="3" max="3" width="9.875" style="0" customWidth="1"/>
    <col min="4" max="4" width="9.625" style="0" customWidth="1"/>
    <col min="5" max="5" width="9.00390625" style="0" customWidth="1"/>
    <col min="6" max="6" width="10.375" style="0" customWidth="1"/>
    <col min="7" max="8" width="10.00390625" style="0" customWidth="1"/>
    <col min="9" max="9" width="9.50390625" style="0" customWidth="1"/>
    <col min="10" max="10" width="11.375" style="0" customWidth="1"/>
    <col min="12" max="12" width="9.875" style="0" customWidth="1"/>
    <col min="13" max="13" width="9.00390625" style="0" customWidth="1"/>
    <col min="14" max="14" width="8.50390625" style="0" customWidth="1"/>
    <col min="15" max="15" width="9.50390625" style="0" customWidth="1"/>
    <col min="16" max="16" width="8.375" style="0" customWidth="1"/>
    <col min="17" max="17" width="10.125" style="0" customWidth="1"/>
    <col min="18" max="18" width="13.375" style="0" customWidth="1"/>
    <col min="19" max="19" width="12.50390625" style="0" customWidth="1"/>
    <col min="20" max="20" width="3.00390625" style="0" customWidth="1"/>
    <col min="21" max="21" width="6.875" style="0" customWidth="1"/>
    <col min="22" max="22" width="2.625" style="0" customWidth="1"/>
    <col min="23" max="23" width="7.625" style="0" customWidth="1"/>
  </cols>
  <sheetData>
    <row r="1" spans="2:3" ht="12.75">
      <c r="B1" s="15"/>
      <c r="C1" s="3" t="s">
        <v>78</v>
      </c>
    </row>
    <row r="2" spans="2:19" ht="12.75">
      <c r="B2" s="3"/>
      <c r="C2" s="3"/>
      <c r="S2" s="73" t="s">
        <v>46</v>
      </c>
    </row>
    <row r="3" spans="1:19" ht="82.5" customHeight="1">
      <c r="A3" s="1"/>
      <c r="B3" s="13" t="s">
        <v>0</v>
      </c>
      <c r="C3" s="7" t="s">
        <v>74</v>
      </c>
      <c r="D3" s="7" t="s">
        <v>75</v>
      </c>
      <c r="E3" s="7" t="s">
        <v>72</v>
      </c>
      <c r="F3" s="7" t="s">
        <v>76</v>
      </c>
      <c r="G3" s="7" t="s">
        <v>111</v>
      </c>
      <c r="H3" s="7" t="s">
        <v>73</v>
      </c>
      <c r="I3" s="7" t="s">
        <v>77</v>
      </c>
      <c r="J3" s="7" t="s">
        <v>109</v>
      </c>
      <c r="K3" s="7" t="s">
        <v>69</v>
      </c>
      <c r="L3" s="7" t="s">
        <v>70</v>
      </c>
      <c r="M3" s="7" t="s">
        <v>71</v>
      </c>
      <c r="N3" s="36" t="s">
        <v>2</v>
      </c>
      <c r="O3" s="7" t="s">
        <v>58</v>
      </c>
      <c r="P3" s="7" t="s">
        <v>60</v>
      </c>
      <c r="Q3" s="7" t="s">
        <v>61</v>
      </c>
      <c r="R3" s="57" t="s">
        <v>104</v>
      </c>
      <c r="S3" s="7" t="s">
        <v>119</v>
      </c>
    </row>
    <row r="4" spans="1:19" ht="12.75">
      <c r="A4" s="2">
        <v>1</v>
      </c>
      <c r="B4" s="2" t="s">
        <v>7</v>
      </c>
      <c r="C4" s="18">
        <v>597138</v>
      </c>
      <c r="D4" s="16">
        <v>95491</v>
      </c>
      <c r="E4" s="16">
        <v>7412</v>
      </c>
      <c r="F4" s="16">
        <v>8641</v>
      </c>
      <c r="G4" s="16">
        <v>98416</v>
      </c>
      <c r="H4" s="16"/>
      <c r="I4" s="16">
        <v>16092</v>
      </c>
      <c r="J4" s="16">
        <v>122440</v>
      </c>
      <c r="K4" s="27">
        <f>'Заработная плата 2019'!M6</f>
        <v>1488885</v>
      </c>
      <c r="L4" s="27">
        <f>'Заработная плата 2019'!N6</f>
        <v>449643.26999999996</v>
      </c>
      <c r="M4" s="16">
        <f>K4+L4</f>
        <v>1938528.27</v>
      </c>
      <c r="N4" s="34">
        <f>SUM(C4+D4+E4+F4+G4+I4+K4+L4+H4+J4)</f>
        <v>2884158.27</v>
      </c>
      <c r="O4" s="16">
        <v>36</v>
      </c>
      <c r="P4" s="16">
        <v>22</v>
      </c>
      <c r="Q4" s="16">
        <f>O4+P4</f>
        <v>58</v>
      </c>
      <c r="R4" s="37">
        <f>N4/Q4</f>
        <v>49726.86672413793</v>
      </c>
      <c r="S4" s="23">
        <f>(C4+D4)/Q4</f>
        <v>11941.879310344828</v>
      </c>
    </row>
    <row r="5" spans="1:19" ht="12.75">
      <c r="A5" s="2">
        <f aca="true" t="shared" si="0" ref="A5:A18">SUM(A4+1)</f>
        <v>2</v>
      </c>
      <c r="B5" s="5" t="s">
        <v>8</v>
      </c>
      <c r="C5" s="18">
        <v>538030</v>
      </c>
      <c r="D5" s="16">
        <v>109168</v>
      </c>
      <c r="E5" s="16">
        <v>3720</v>
      </c>
      <c r="F5" s="16">
        <v>142885</v>
      </c>
      <c r="G5" s="45">
        <v>94092</v>
      </c>
      <c r="H5" s="45"/>
      <c r="I5" s="45">
        <v>171000</v>
      </c>
      <c r="J5" s="45">
        <v>122400</v>
      </c>
      <c r="K5" s="27">
        <f>'Заработная плата 2019'!M7</f>
        <v>775010</v>
      </c>
      <c r="L5" s="27">
        <f>'Заработная плата 2019'!N7</f>
        <v>234053.02</v>
      </c>
      <c r="M5" s="16">
        <f aca="true" t="shared" si="1" ref="M5:M18">K5+L5</f>
        <v>1009063.02</v>
      </c>
      <c r="N5" s="34">
        <f aca="true" t="shared" si="2" ref="N5:N25">SUM(C5+D5+E5+F5+G5+I5+K5+L5+H5+J5)</f>
        <v>2190358.02</v>
      </c>
      <c r="O5" s="16">
        <v>70</v>
      </c>
      <c r="P5" s="16">
        <v>0</v>
      </c>
      <c r="Q5" s="16">
        <f aca="true" t="shared" si="3" ref="Q5:Q18">O5+P5</f>
        <v>70</v>
      </c>
      <c r="R5" s="37">
        <f>N5/Q5</f>
        <v>31290.828857142857</v>
      </c>
      <c r="S5" s="23">
        <f aca="true" t="shared" si="4" ref="S5:S30">(C5+D5)/Q5</f>
        <v>9245.685714285713</v>
      </c>
    </row>
    <row r="6" spans="1:19" ht="12.75">
      <c r="A6" s="2">
        <f t="shared" si="0"/>
        <v>3</v>
      </c>
      <c r="B6" s="5" t="s">
        <v>9</v>
      </c>
      <c r="C6" s="18">
        <v>535186</v>
      </c>
      <c r="D6" s="16">
        <v>104632</v>
      </c>
      <c r="E6" s="16">
        <v>8806</v>
      </c>
      <c r="F6" s="16">
        <v>67094</v>
      </c>
      <c r="G6" s="45">
        <v>177876</v>
      </c>
      <c r="H6" s="45"/>
      <c r="I6" s="45">
        <v>85913</v>
      </c>
      <c r="J6" s="45">
        <v>122440</v>
      </c>
      <c r="K6" s="27">
        <f>'Заработная плата 2019'!M8</f>
        <v>1095981</v>
      </c>
      <c r="L6" s="27">
        <f>'Заработная плата 2019'!N8</f>
        <v>330986.262</v>
      </c>
      <c r="M6" s="16">
        <f t="shared" si="1"/>
        <v>1426967.262</v>
      </c>
      <c r="N6" s="34">
        <f t="shared" si="2"/>
        <v>2528914.262</v>
      </c>
      <c r="O6" s="16">
        <v>73</v>
      </c>
      <c r="P6" s="16">
        <v>34</v>
      </c>
      <c r="Q6" s="16">
        <f t="shared" si="3"/>
        <v>107</v>
      </c>
      <c r="R6" s="37">
        <f>N6/Q6</f>
        <v>23634.712728971965</v>
      </c>
      <c r="S6" s="23">
        <f t="shared" si="4"/>
        <v>5979.607476635514</v>
      </c>
    </row>
    <row r="7" spans="1:19" ht="12.75">
      <c r="A7" s="2">
        <f t="shared" si="0"/>
        <v>4</v>
      </c>
      <c r="B7" s="5" t="s">
        <v>10</v>
      </c>
      <c r="C7" s="18">
        <v>510187</v>
      </c>
      <c r="D7" s="16">
        <v>153599</v>
      </c>
      <c r="E7" s="16">
        <v>3224</v>
      </c>
      <c r="F7" s="16">
        <v>56623</v>
      </c>
      <c r="G7" s="45">
        <v>106832</v>
      </c>
      <c r="H7" s="45"/>
      <c r="I7" s="45">
        <v>140029</v>
      </c>
      <c r="J7" s="45">
        <v>122440</v>
      </c>
      <c r="K7" s="27">
        <f>'Заработная плата 2019'!M9</f>
        <v>891279</v>
      </c>
      <c r="L7" s="27">
        <f>'Заработная плата 2019'!N9</f>
        <v>269166.258</v>
      </c>
      <c r="M7" s="16">
        <f t="shared" si="1"/>
        <v>1160445.258</v>
      </c>
      <c r="N7" s="34">
        <f t="shared" si="2"/>
        <v>2253379.258</v>
      </c>
      <c r="O7" s="16">
        <v>87</v>
      </c>
      <c r="P7" s="16">
        <v>15</v>
      </c>
      <c r="Q7" s="16">
        <f t="shared" si="3"/>
        <v>102</v>
      </c>
      <c r="R7" s="37">
        <f>N7/Q7</f>
        <v>22091.95350980392</v>
      </c>
      <c r="S7" s="23">
        <f t="shared" si="4"/>
        <v>6507.705882352941</v>
      </c>
    </row>
    <row r="8" spans="1:19" ht="12.75">
      <c r="A8" s="2">
        <f t="shared" si="0"/>
        <v>5</v>
      </c>
      <c r="B8" s="5" t="s">
        <v>12</v>
      </c>
      <c r="C8" s="18">
        <v>622268</v>
      </c>
      <c r="D8" s="16">
        <v>201763</v>
      </c>
      <c r="E8" s="16">
        <v>11373</v>
      </c>
      <c r="F8" s="16">
        <v>39841</v>
      </c>
      <c r="G8" s="45">
        <v>103216</v>
      </c>
      <c r="H8" s="45"/>
      <c r="I8" s="45">
        <v>123911</v>
      </c>
      <c r="J8" s="45">
        <v>122440</v>
      </c>
      <c r="K8" s="27">
        <f>'Заработная плата 2019'!M10</f>
        <v>780845</v>
      </c>
      <c r="L8" s="27">
        <f>'Заработная плата 2019'!N10</f>
        <v>235815.19</v>
      </c>
      <c r="M8" s="16">
        <f t="shared" si="1"/>
        <v>1016660.19</v>
      </c>
      <c r="N8" s="34">
        <f t="shared" si="2"/>
        <v>2241472.19</v>
      </c>
      <c r="O8" s="16">
        <v>62</v>
      </c>
      <c r="P8" s="16">
        <v>15</v>
      </c>
      <c r="Q8" s="16">
        <f t="shared" si="3"/>
        <v>77</v>
      </c>
      <c r="R8" s="37">
        <f aca="true" t="shared" si="5" ref="R8:R30">N8/Q8</f>
        <v>29110.02844155844</v>
      </c>
      <c r="S8" s="23">
        <f t="shared" si="4"/>
        <v>10701.701298701299</v>
      </c>
    </row>
    <row r="9" spans="1:19" ht="12.75">
      <c r="A9" s="2">
        <f t="shared" si="0"/>
        <v>6</v>
      </c>
      <c r="B9" s="5" t="s">
        <v>14</v>
      </c>
      <c r="C9" s="45">
        <v>1010248</v>
      </c>
      <c r="D9" s="16">
        <v>74335</v>
      </c>
      <c r="E9" s="16">
        <v>9683</v>
      </c>
      <c r="F9" s="16">
        <v>173577</v>
      </c>
      <c r="G9" s="45">
        <v>117875</v>
      </c>
      <c r="H9" s="45"/>
      <c r="I9" s="45">
        <v>225532</v>
      </c>
      <c r="J9" s="45">
        <v>122440</v>
      </c>
      <c r="K9" s="27">
        <f>'Заработная плата 2019'!M11</f>
        <v>1487214</v>
      </c>
      <c r="L9" s="27">
        <f>'Заработная плата 2019'!N11</f>
        <v>449138.62799999997</v>
      </c>
      <c r="M9" s="16">
        <f t="shared" si="1"/>
        <v>1936352.628</v>
      </c>
      <c r="N9" s="34">
        <f t="shared" si="2"/>
        <v>3670042.628</v>
      </c>
      <c r="O9" s="16">
        <v>121</v>
      </c>
      <c r="P9" s="16">
        <v>29</v>
      </c>
      <c r="Q9" s="16">
        <f t="shared" si="3"/>
        <v>150</v>
      </c>
      <c r="R9" s="37">
        <f t="shared" si="5"/>
        <v>24466.950853333332</v>
      </c>
      <c r="S9" s="23">
        <f t="shared" si="4"/>
        <v>7230.553333333333</v>
      </c>
    </row>
    <row r="10" spans="1:19" ht="12.75">
      <c r="A10" s="2">
        <f t="shared" si="0"/>
        <v>7</v>
      </c>
      <c r="B10" s="5" t="s">
        <v>15</v>
      </c>
      <c r="C10" s="18">
        <v>656687</v>
      </c>
      <c r="D10" s="16">
        <v>118457</v>
      </c>
      <c r="E10" s="16">
        <v>14418</v>
      </c>
      <c r="F10" s="16">
        <v>237674</v>
      </c>
      <c r="G10" s="45">
        <v>152464</v>
      </c>
      <c r="H10" s="45">
        <v>26000</v>
      </c>
      <c r="I10" s="45">
        <v>437010</v>
      </c>
      <c r="J10" s="45">
        <v>122440</v>
      </c>
      <c r="K10" s="27">
        <f>'Заработная плата 2019'!M12</f>
        <v>806568</v>
      </c>
      <c r="L10" s="27">
        <f>'Заработная плата 2019'!N12</f>
        <v>243583.536</v>
      </c>
      <c r="M10" s="16">
        <f t="shared" si="1"/>
        <v>1050151.536</v>
      </c>
      <c r="N10" s="34">
        <f t="shared" si="2"/>
        <v>2815301.536</v>
      </c>
      <c r="O10" s="16">
        <v>177</v>
      </c>
      <c r="P10" s="16">
        <v>21</v>
      </c>
      <c r="Q10" s="16">
        <f t="shared" si="3"/>
        <v>198</v>
      </c>
      <c r="R10" s="37">
        <f t="shared" si="5"/>
        <v>14218.694626262626</v>
      </c>
      <c r="S10" s="23">
        <f t="shared" si="4"/>
        <v>3914.868686868687</v>
      </c>
    </row>
    <row r="11" spans="1:19" ht="12.75">
      <c r="A11" s="2">
        <f t="shared" si="0"/>
        <v>8</v>
      </c>
      <c r="B11" s="5" t="s">
        <v>17</v>
      </c>
      <c r="C11" s="16">
        <v>579615</v>
      </c>
      <c r="D11" s="16">
        <v>93563</v>
      </c>
      <c r="E11" s="16">
        <v>7804</v>
      </c>
      <c r="F11" s="16">
        <v>60672</v>
      </c>
      <c r="G11" s="45">
        <v>105024</v>
      </c>
      <c r="H11" s="45"/>
      <c r="I11" s="45">
        <v>155449</v>
      </c>
      <c r="J11" s="45">
        <v>122440</v>
      </c>
      <c r="K11" s="27">
        <f>'Заработная плата 2019'!M13</f>
        <v>902262</v>
      </c>
      <c r="L11" s="27">
        <f>'Заработная плата 2019'!N13</f>
        <v>272483.124</v>
      </c>
      <c r="M11" s="16">
        <f t="shared" si="1"/>
        <v>1174745.124</v>
      </c>
      <c r="N11" s="34">
        <f t="shared" si="2"/>
        <v>2299312.124</v>
      </c>
      <c r="O11" s="16">
        <v>69</v>
      </c>
      <c r="P11" s="16">
        <v>20</v>
      </c>
      <c r="Q11" s="16">
        <f t="shared" si="3"/>
        <v>89</v>
      </c>
      <c r="R11" s="37">
        <f t="shared" si="5"/>
        <v>25834.967685393258</v>
      </c>
      <c r="S11" s="23">
        <f t="shared" si="4"/>
        <v>7563.797752808989</v>
      </c>
    </row>
    <row r="12" spans="1:19" ht="12.75">
      <c r="A12" s="2">
        <f t="shared" si="0"/>
        <v>9</v>
      </c>
      <c r="B12" s="5" t="s">
        <v>18</v>
      </c>
      <c r="C12" s="18">
        <v>1663233</v>
      </c>
      <c r="D12" s="16">
        <v>175681</v>
      </c>
      <c r="E12" s="16">
        <v>11659</v>
      </c>
      <c r="F12" s="16">
        <v>294455</v>
      </c>
      <c r="G12" s="45">
        <v>254862</v>
      </c>
      <c r="H12" s="45"/>
      <c r="I12" s="45">
        <v>220560</v>
      </c>
      <c r="J12" s="45">
        <v>122440</v>
      </c>
      <c r="K12" s="27">
        <f>'Заработная плата 2019'!M14</f>
        <v>1399941</v>
      </c>
      <c r="L12" s="27">
        <f>'Заработная плата 2019'!N14</f>
        <v>422782.182</v>
      </c>
      <c r="M12" s="16">
        <f t="shared" si="1"/>
        <v>1822723.182</v>
      </c>
      <c r="N12" s="34">
        <f t="shared" si="2"/>
        <v>4565613.182</v>
      </c>
      <c r="O12" s="16">
        <v>125</v>
      </c>
      <c r="P12" s="16">
        <v>37</v>
      </c>
      <c r="Q12" s="16">
        <f t="shared" si="3"/>
        <v>162</v>
      </c>
      <c r="R12" s="37">
        <f t="shared" si="5"/>
        <v>28182.797419753086</v>
      </c>
      <c r="S12" s="23">
        <f t="shared" si="4"/>
        <v>11351.32098765432</v>
      </c>
    </row>
    <row r="13" spans="1:19" ht="12.75">
      <c r="A13" s="2">
        <f t="shared" si="0"/>
        <v>10</v>
      </c>
      <c r="B13" s="5" t="s">
        <v>19</v>
      </c>
      <c r="C13" s="18">
        <v>795912</v>
      </c>
      <c r="D13" s="16">
        <v>130703</v>
      </c>
      <c r="E13" s="16">
        <v>9447</v>
      </c>
      <c r="F13" s="16">
        <v>181666</v>
      </c>
      <c r="G13" s="45">
        <v>143180</v>
      </c>
      <c r="H13" s="45"/>
      <c r="I13" s="45">
        <v>326460</v>
      </c>
      <c r="J13" s="45">
        <v>122440</v>
      </c>
      <c r="K13" s="27">
        <f>'Заработная плата 2019'!M15</f>
        <v>1518804</v>
      </c>
      <c r="L13" s="27">
        <f>'Заработная плата 2019'!N15</f>
        <v>458678.80799999996</v>
      </c>
      <c r="M13" s="16">
        <f t="shared" si="1"/>
        <v>1977482.808</v>
      </c>
      <c r="N13" s="34">
        <f t="shared" si="2"/>
        <v>3687290.808</v>
      </c>
      <c r="O13" s="16">
        <v>108</v>
      </c>
      <c r="P13" s="16">
        <v>28</v>
      </c>
      <c r="Q13" s="16">
        <f t="shared" si="3"/>
        <v>136</v>
      </c>
      <c r="R13" s="37">
        <f t="shared" si="5"/>
        <v>27112.43241176471</v>
      </c>
      <c r="S13" s="23">
        <f t="shared" si="4"/>
        <v>6813.345588235294</v>
      </c>
    </row>
    <row r="14" spans="1:19" ht="12.75">
      <c r="A14" s="2">
        <f t="shared" si="0"/>
        <v>11</v>
      </c>
      <c r="B14" s="5" t="s">
        <v>20</v>
      </c>
      <c r="C14" s="18">
        <v>609917</v>
      </c>
      <c r="D14" s="16">
        <v>71823</v>
      </c>
      <c r="E14" s="16">
        <v>7238</v>
      </c>
      <c r="F14" s="16">
        <v>18224</v>
      </c>
      <c r="G14" s="45">
        <v>100208</v>
      </c>
      <c r="H14" s="45"/>
      <c r="I14" s="45">
        <v>210549</v>
      </c>
      <c r="J14" s="45">
        <v>122440</v>
      </c>
      <c r="K14" s="27">
        <f>'Заработная плата 2019'!M16</f>
        <v>748170</v>
      </c>
      <c r="L14" s="27">
        <f>'Заработная плата 2019'!N16</f>
        <v>225947.34</v>
      </c>
      <c r="M14" s="16">
        <f t="shared" si="1"/>
        <v>974117.34</v>
      </c>
      <c r="N14" s="34">
        <f t="shared" si="2"/>
        <v>2114516.34</v>
      </c>
      <c r="O14" s="16">
        <v>43</v>
      </c>
      <c r="P14" s="16">
        <v>13</v>
      </c>
      <c r="Q14" s="16">
        <f t="shared" si="3"/>
        <v>56</v>
      </c>
      <c r="R14" s="37">
        <f t="shared" si="5"/>
        <v>37759.220357142854</v>
      </c>
      <c r="S14" s="23">
        <f t="shared" si="4"/>
        <v>12173.92857142857</v>
      </c>
    </row>
    <row r="15" spans="1:19" ht="12.75">
      <c r="A15" s="2">
        <f t="shared" si="0"/>
        <v>12</v>
      </c>
      <c r="B15" s="2" t="s">
        <v>21</v>
      </c>
      <c r="C15" s="18">
        <v>1262378</v>
      </c>
      <c r="D15" s="16">
        <v>178871</v>
      </c>
      <c r="E15" s="16">
        <v>15083</v>
      </c>
      <c r="F15" s="16">
        <v>193015</v>
      </c>
      <c r="G15" s="45">
        <v>220038</v>
      </c>
      <c r="H15" s="45"/>
      <c r="I15" s="45">
        <v>279366</v>
      </c>
      <c r="J15" s="45">
        <v>122400</v>
      </c>
      <c r="K15" s="27">
        <f>'Заработная плата 2019'!M17</f>
        <v>2121047</v>
      </c>
      <c r="L15" s="27">
        <f>'Заработная плата 2019'!N17</f>
        <v>640556.194</v>
      </c>
      <c r="M15" s="16">
        <f t="shared" si="1"/>
        <v>2761603.194</v>
      </c>
      <c r="N15" s="34">
        <f t="shared" si="2"/>
        <v>5032754.194</v>
      </c>
      <c r="O15" s="16">
        <v>155</v>
      </c>
      <c r="P15" s="16">
        <v>51</v>
      </c>
      <c r="Q15" s="16">
        <f t="shared" si="3"/>
        <v>206</v>
      </c>
      <c r="R15" s="37">
        <f t="shared" si="5"/>
        <v>24430.84560194175</v>
      </c>
      <c r="S15" s="23">
        <f t="shared" si="4"/>
        <v>6996.354368932039</v>
      </c>
    </row>
    <row r="16" spans="1:19" ht="12.75">
      <c r="A16" s="2">
        <f t="shared" si="0"/>
        <v>13</v>
      </c>
      <c r="B16" s="2" t="s">
        <v>22</v>
      </c>
      <c r="C16" s="18">
        <v>1364850</v>
      </c>
      <c r="D16" s="16">
        <v>173581</v>
      </c>
      <c r="E16" s="16">
        <v>14960</v>
      </c>
      <c r="F16" s="16">
        <v>290582</v>
      </c>
      <c r="G16" s="45">
        <v>170374</v>
      </c>
      <c r="H16" s="45"/>
      <c r="I16" s="45">
        <v>1067059</v>
      </c>
      <c r="J16" s="45">
        <v>122440</v>
      </c>
      <c r="K16" s="27">
        <f>'Заработная плата 2019'!M18</f>
        <v>1631416</v>
      </c>
      <c r="L16" s="27">
        <f>'Заработная плата 2019'!N18</f>
        <v>492687.632</v>
      </c>
      <c r="M16" s="16">
        <f t="shared" si="1"/>
        <v>2124103.632</v>
      </c>
      <c r="N16" s="34">
        <f t="shared" si="2"/>
        <v>5327949.632</v>
      </c>
      <c r="O16" s="16">
        <v>265</v>
      </c>
      <c r="P16" s="16">
        <v>0</v>
      </c>
      <c r="Q16" s="16">
        <f t="shared" si="3"/>
        <v>265</v>
      </c>
      <c r="R16" s="37">
        <f t="shared" si="5"/>
        <v>20105.470309433964</v>
      </c>
      <c r="S16" s="23">
        <f t="shared" si="4"/>
        <v>5805.4</v>
      </c>
    </row>
    <row r="17" spans="1:19" ht="12.75">
      <c r="A17" s="2">
        <f t="shared" si="0"/>
        <v>14</v>
      </c>
      <c r="B17" s="2" t="s">
        <v>23</v>
      </c>
      <c r="C17" s="18">
        <v>2517441</v>
      </c>
      <c r="D17" s="18">
        <v>455300</v>
      </c>
      <c r="E17" s="16">
        <v>16481</v>
      </c>
      <c r="F17" s="16">
        <v>274500</v>
      </c>
      <c r="G17" s="45">
        <v>473469</v>
      </c>
      <c r="H17" s="45"/>
      <c r="I17" s="45">
        <v>885700</v>
      </c>
      <c r="J17" s="45">
        <v>122400</v>
      </c>
      <c r="K17" s="27">
        <f>'Заработная плата 2019'!M19</f>
        <v>3620884</v>
      </c>
      <c r="L17" s="27">
        <f>'Заработная плата 2019'!N19</f>
        <v>1093506</v>
      </c>
      <c r="M17" s="16">
        <f t="shared" si="1"/>
        <v>4714390</v>
      </c>
      <c r="N17" s="34">
        <f t="shared" si="2"/>
        <v>9459681</v>
      </c>
      <c r="O17" s="16">
        <v>1024</v>
      </c>
      <c r="P17" s="16">
        <v>0</v>
      </c>
      <c r="Q17" s="16">
        <f t="shared" si="3"/>
        <v>1024</v>
      </c>
      <c r="R17" s="37">
        <f t="shared" si="5"/>
        <v>9237.9697265625</v>
      </c>
      <c r="S17" s="23">
        <f t="shared" si="4"/>
        <v>2903.0673828125</v>
      </c>
    </row>
    <row r="18" spans="1:19" ht="12.75">
      <c r="A18" s="2">
        <f t="shared" si="0"/>
        <v>15</v>
      </c>
      <c r="B18" s="2" t="s">
        <v>24</v>
      </c>
      <c r="C18" s="18">
        <v>2115254</v>
      </c>
      <c r="D18" s="16">
        <v>169967</v>
      </c>
      <c r="E18" s="16">
        <v>12116</v>
      </c>
      <c r="F18" s="16">
        <v>47016</v>
      </c>
      <c r="G18" s="16">
        <v>147000</v>
      </c>
      <c r="H18" s="16"/>
      <c r="I18" s="16">
        <v>538685</v>
      </c>
      <c r="J18" s="45">
        <v>122560</v>
      </c>
      <c r="K18" s="27">
        <f>'Заработная плата 2019'!M20</f>
        <v>2084575</v>
      </c>
      <c r="L18" s="27">
        <f>'Заработная плата 2019'!N20</f>
        <v>629541.65</v>
      </c>
      <c r="M18" s="16">
        <f t="shared" si="1"/>
        <v>2714116.65</v>
      </c>
      <c r="N18" s="34">
        <f t="shared" si="2"/>
        <v>5866714.65</v>
      </c>
      <c r="O18" s="16">
        <v>295</v>
      </c>
      <c r="P18" s="16">
        <v>0</v>
      </c>
      <c r="Q18" s="16">
        <f t="shared" si="3"/>
        <v>295</v>
      </c>
      <c r="R18" s="37">
        <f t="shared" si="5"/>
        <v>19887.168305084746</v>
      </c>
      <c r="S18" s="23">
        <f t="shared" si="4"/>
        <v>7746.51186440678</v>
      </c>
    </row>
    <row r="19" spans="1:19" ht="12.75">
      <c r="A19" s="14">
        <v>15</v>
      </c>
      <c r="B19" s="4" t="s">
        <v>1</v>
      </c>
      <c r="C19" s="17">
        <f aca="true" t="shared" si="6" ref="C19:Q19">SUM(C4:C18)</f>
        <v>15378344</v>
      </c>
      <c r="D19" s="17">
        <f t="shared" si="6"/>
        <v>2306934</v>
      </c>
      <c r="E19" s="17">
        <f t="shared" si="6"/>
        <v>153424</v>
      </c>
      <c r="F19" s="17">
        <f t="shared" si="6"/>
        <v>2086465</v>
      </c>
      <c r="G19" s="17">
        <f t="shared" si="6"/>
        <v>2464926</v>
      </c>
      <c r="H19" s="17">
        <f t="shared" si="6"/>
        <v>26000</v>
      </c>
      <c r="I19" s="17">
        <f t="shared" si="6"/>
        <v>4883315</v>
      </c>
      <c r="J19" s="17">
        <f t="shared" si="6"/>
        <v>1836600</v>
      </c>
      <c r="K19" s="17">
        <f t="shared" si="6"/>
        <v>21352881</v>
      </c>
      <c r="L19" s="17">
        <f t="shared" si="6"/>
        <v>6448569.0940000005</v>
      </c>
      <c r="M19" s="17">
        <f t="shared" si="6"/>
        <v>27801450.093999997</v>
      </c>
      <c r="N19" s="17">
        <f t="shared" si="6"/>
        <v>56937458.094000004</v>
      </c>
      <c r="O19" s="17">
        <f t="shared" si="6"/>
        <v>2710</v>
      </c>
      <c r="P19" s="17">
        <f t="shared" si="6"/>
        <v>285</v>
      </c>
      <c r="Q19" s="17">
        <f t="shared" si="6"/>
        <v>2995</v>
      </c>
      <c r="R19" s="58">
        <f t="shared" si="5"/>
        <v>19010.837427045077</v>
      </c>
      <c r="S19" s="74">
        <f t="shared" si="4"/>
        <v>5904.934223706177</v>
      </c>
    </row>
    <row r="20" spans="1:19" ht="12.75">
      <c r="A20" s="2">
        <v>1</v>
      </c>
      <c r="B20" s="2" t="s">
        <v>25</v>
      </c>
      <c r="C20" s="16">
        <v>1271478</v>
      </c>
      <c r="D20" s="16">
        <v>80083</v>
      </c>
      <c r="E20" s="16">
        <v>3956</v>
      </c>
      <c r="F20" s="16">
        <v>91566</v>
      </c>
      <c r="G20" s="16">
        <v>81300</v>
      </c>
      <c r="H20" s="16"/>
      <c r="I20" s="16">
        <v>43070</v>
      </c>
      <c r="J20" s="16">
        <v>135434</v>
      </c>
      <c r="K20" s="27">
        <f>'Заработная плата 2019'!M22</f>
        <v>3832773</v>
      </c>
      <c r="L20" s="27">
        <f>'Заработная плата 2019'!N22</f>
        <v>1157497.446</v>
      </c>
      <c r="M20" s="16">
        <f aca="true" t="shared" si="7" ref="M20:M25">K20+L20</f>
        <v>4990270.446</v>
      </c>
      <c r="N20" s="34">
        <f t="shared" si="2"/>
        <v>6697157.446</v>
      </c>
      <c r="O20" s="16">
        <v>215</v>
      </c>
      <c r="P20" s="16"/>
      <c r="Q20" s="16">
        <f aca="true" t="shared" si="8" ref="Q20:Q25">O20+P20</f>
        <v>215</v>
      </c>
      <c r="R20" s="37">
        <f t="shared" si="5"/>
        <v>31149.569516279073</v>
      </c>
      <c r="S20" s="23">
        <f t="shared" si="4"/>
        <v>6286.33023255814</v>
      </c>
    </row>
    <row r="21" spans="1:19" ht="12.75">
      <c r="A21" s="2">
        <f>SUM(A20+1)</f>
        <v>2</v>
      </c>
      <c r="B21" s="2" t="s">
        <v>26</v>
      </c>
      <c r="C21" s="16">
        <v>1138433</v>
      </c>
      <c r="D21" s="16">
        <v>80083</v>
      </c>
      <c r="E21" s="16">
        <v>5041</v>
      </c>
      <c r="F21" s="16">
        <v>5800</v>
      </c>
      <c r="G21" s="16">
        <v>82204</v>
      </c>
      <c r="H21" s="16"/>
      <c r="I21" s="16">
        <v>93000</v>
      </c>
      <c r="J21" s="16">
        <v>135434</v>
      </c>
      <c r="K21" s="27">
        <f>'Заработная плата 2019'!M23</f>
        <v>3384654</v>
      </c>
      <c r="L21" s="27">
        <f>'Заработная плата 2019'!N23</f>
        <v>1022165.5079999999</v>
      </c>
      <c r="M21" s="16">
        <f t="shared" si="7"/>
        <v>4406819.507999999</v>
      </c>
      <c r="N21" s="34">
        <f t="shared" si="2"/>
        <v>5946814.507999999</v>
      </c>
      <c r="O21" s="16">
        <v>194</v>
      </c>
      <c r="P21" s="16"/>
      <c r="Q21" s="16">
        <f t="shared" si="8"/>
        <v>194</v>
      </c>
      <c r="R21" s="37">
        <f t="shared" si="5"/>
        <v>30653.683030927834</v>
      </c>
      <c r="S21" s="23">
        <f t="shared" si="4"/>
        <v>6281.01030927835</v>
      </c>
    </row>
    <row r="22" spans="1:19" ht="12.75">
      <c r="A22" s="2">
        <f>SUM(A21+1)</f>
        <v>3</v>
      </c>
      <c r="B22" s="2" t="s">
        <v>27</v>
      </c>
      <c r="C22" s="16">
        <v>1264165</v>
      </c>
      <c r="D22" s="16">
        <v>75903</v>
      </c>
      <c r="E22" s="16">
        <v>4232</v>
      </c>
      <c r="F22" s="16">
        <v>5092</v>
      </c>
      <c r="G22" s="16">
        <v>70452</v>
      </c>
      <c r="H22" s="16"/>
      <c r="I22" s="16">
        <v>73000</v>
      </c>
      <c r="J22" s="16">
        <v>135433</v>
      </c>
      <c r="K22" s="27">
        <f>'Заработная плата 2019'!M24</f>
        <v>2875832</v>
      </c>
      <c r="L22" s="27">
        <f>'Заработная плата 2019'!N24</f>
        <v>868501.264</v>
      </c>
      <c r="M22" s="16">
        <f t="shared" si="7"/>
        <v>3744333.264</v>
      </c>
      <c r="N22" s="34">
        <f t="shared" si="2"/>
        <v>5372610.264</v>
      </c>
      <c r="O22" s="16">
        <v>148</v>
      </c>
      <c r="P22" s="16"/>
      <c r="Q22" s="16">
        <f t="shared" si="8"/>
        <v>148</v>
      </c>
      <c r="R22" s="37">
        <f t="shared" si="5"/>
        <v>36301.42070270271</v>
      </c>
      <c r="S22" s="23">
        <f t="shared" si="4"/>
        <v>9054.513513513513</v>
      </c>
    </row>
    <row r="23" spans="1:19" ht="12.75">
      <c r="A23" s="2">
        <f>SUM(A22+1)</f>
        <v>4</v>
      </c>
      <c r="B23" s="2" t="s">
        <v>40</v>
      </c>
      <c r="C23" s="16">
        <v>1001596</v>
      </c>
      <c r="D23" s="16">
        <v>85585</v>
      </c>
      <c r="E23" s="16">
        <v>4019</v>
      </c>
      <c r="F23" s="16">
        <v>40704</v>
      </c>
      <c r="G23" s="16">
        <v>69548</v>
      </c>
      <c r="H23" s="16"/>
      <c r="I23" s="16">
        <v>153000</v>
      </c>
      <c r="J23" s="16">
        <v>135433</v>
      </c>
      <c r="K23" s="27">
        <f>'Заработная плата 2019'!M25</f>
        <v>2488871</v>
      </c>
      <c r="L23" s="27">
        <f>'Заработная плата 2019'!N25</f>
        <v>751639.042</v>
      </c>
      <c r="M23" s="16">
        <f t="shared" si="7"/>
        <v>3240510.042</v>
      </c>
      <c r="N23" s="34">
        <f t="shared" si="2"/>
        <v>4730395.042</v>
      </c>
      <c r="O23" s="16">
        <v>93</v>
      </c>
      <c r="P23" s="16"/>
      <c r="Q23" s="16">
        <f t="shared" si="8"/>
        <v>93</v>
      </c>
      <c r="R23" s="37">
        <f t="shared" si="5"/>
        <v>50864.46281720431</v>
      </c>
      <c r="S23" s="23">
        <f t="shared" si="4"/>
        <v>11690.118279569893</v>
      </c>
    </row>
    <row r="24" spans="1:19" ht="12.75">
      <c r="A24" s="2">
        <f>SUM(A23+1)</f>
        <v>5</v>
      </c>
      <c r="B24" s="2" t="s">
        <v>42</v>
      </c>
      <c r="C24" s="16">
        <v>840000</v>
      </c>
      <c r="D24" s="16">
        <v>137000</v>
      </c>
      <c r="E24" s="16">
        <v>10560</v>
      </c>
      <c r="F24" s="16">
        <v>395683</v>
      </c>
      <c r="G24" s="16">
        <v>84204</v>
      </c>
      <c r="H24" s="16"/>
      <c r="I24" s="16">
        <v>52382</v>
      </c>
      <c r="J24" s="16">
        <v>135433</v>
      </c>
      <c r="K24" s="27">
        <f>'Заработная плата 2019'!M26</f>
        <v>4019552</v>
      </c>
      <c r="L24" s="27">
        <f>'Заработная плата 2019'!N26</f>
        <v>1213904.704</v>
      </c>
      <c r="M24" s="16">
        <f t="shared" si="7"/>
        <v>5233456.704</v>
      </c>
      <c r="N24" s="34">
        <f>SUM(C24+D24+E24+F24+G24+I24+K24+L24+H24+J24)</f>
        <v>6888718.704</v>
      </c>
      <c r="O24" s="16">
        <v>200</v>
      </c>
      <c r="P24" s="16"/>
      <c r="Q24" s="16">
        <f t="shared" si="8"/>
        <v>200</v>
      </c>
      <c r="R24" s="37">
        <f t="shared" si="5"/>
        <v>34443.59352</v>
      </c>
      <c r="S24" s="23">
        <f t="shared" si="4"/>
        <v>4885</v>
      </c>
    </row>
    <row r="25" spans="1:19" ht="12.75">
      <c r="A25" s="2">
        <f>SUM(A24+1)</f>
        <v>6</v>
      </c>
      <c r="B25" s="2" t="s">
        <v>32</v>
      </c>
      <c r="C25" s="16">
        <v>160000</v>
      </c>
      <c r="D25" s="16">
        <v>35700</v>
      </c>
      <c r="E25" s="16">
        <v>3370</v>
      </c>
      <c r="F25" s="16">
        <v>7848</v>
      </c>
      <c r="G25" s="16">
        <v>27700</v>
      </c>
      <c r="H25" s="16"/>
      <c r="I25" s="16">
        <v>18000</v>
      </c>
      <c r="J25" s="16">
        <v>135433</v>
      </c>
      <c r="K25" s="27">
        <f>'Заработная плата 2019'!M27</f>
        <v>801321</v>
      </c>
      <c r="L25" s="27">
        <f>'Заработная плата 2019'!N27</f>
        <v>241998.94199999998</v>
      </c>
      <c r="M25" s="16">
        <f t="shared" si="7"/>
        <v>1043319.942</v>
      </c>
      <c r="N25" s="34">
        <f t="shared" si="2"/>
        <v>1431370.942</v>
      </c>
      <c r="O25" s="16">
        <v>36</v>
      </c>
      <c r="P25" s="16"/>
      <c r="Q25" s="16">
        <f t="shared" si="8"/>
        <v>36</v>
      </c>
      <c r="R25" s="37">
        <f t="shared" si="5"/>
        <v>39760.303944444444</v>
      </c>
      <c r="S25" s="23">
        <f t="shared" si="4"/>
        <v>5436.111111111111</v>
      </c>
    </row>
    <row r="26" spans="1:19" ht="12.75">
      <c r="A26" s="14">
        <v>6</v>
      </c>
      <c r="B26" s="4" t="s">
        <v>1</v>
      </c>
      <c r="C26" s="17">
        <f aca="true" t="shared" si="9" ref="C26:Q26">SUM(C20:C25)</f>
        <v>5675672</v>
      </c>
      <c r="D26" s="17">
        <f t="shared" si="9"/>
        <v>494354</v>
      </c>
      <c r="E26" s="17">
        <f t="shared" si="9"/>
        <v>31178</v>
      </c>
      <c r="F26" s="17">
        <f t="shared" si="9"/>
        <v>546693</v>
      </c>
      <c r="G26" s="17">
        <f t="shared" si="9"/>
        <v>415408</v>
      </c>
      <c r="H26" s="17">
        <f t="shared" si="9"/>
        <v>0</v>
      </c>
      <c r="I26" s="17">
        <f t="shared" si="9"/>
        <v>432452</v>
      </c>
      <c r="J26" s="17">
        <f t="shared" si="9"/>
        <v>812600</v>
      </c>
      <c r="K26" s="17">
        <f t="shared" si="9"/>
        <v>17403003</v>
      </c>
      <c r="L26" s="17">
        <f t="shared" si="9"/>
        <v>5255706.9059999995</v>
      </c>
      <c r="M26" s="17">
        <f t="shared" si="9"/>
        <v>22658709.906000003</v>
      </c>
      <c r="N26" s="17">
        <f t="shared" si="9"/>
        <v>31067066.906000003</v>
      </c>
      <c r="O26" s="17">
        <f t="shared" si="9"/>
        <v>886</v>
      </c>
      <c r="P26" s="17">
        <f t="shared" si="9"/>
        <v>0</v>
      </c>
      <c r="Q26" s="17">
        <f t="shared" si="9"/>
        <v>886</v>
      </c>
      <c r="R26" s="58">
        <f t="shared" si="5"/>
        <v>35064.40960045147</v>
      </c>
      <c r="S26" s="74">
        <f t="shared" si="4"/>
        <v>6963.911963882619</v>
      </c>
    </row>
    <row r="27" spans="1:19" ht="12.75">
      <c r="A27" s="2">
        <v>1</v>
      </c>
      <c r="B27" s="39" t="s">
        <v>35</v>
      </c>
      <c r="C27" s="45">
        <v>158000</v>
      </c>
      <c r="D27" s="45">
        <v>25000</v>
      </c>
      <c r="E27" s="45">
        <v>15000</v>
      </c>
      <c r="F27" s="45"/>
      <c r="G27" s="45">
        <v>45000</v>
      </c>
      <c r="H27" s="45"/>
      <c r="I27" s="45">
        <v>6000</v>
      </c>
      <c r="J27" s="45"/>
      <c r="K27" s="45">
        <f>'Заработная плата 2019'!M29</f>
        <v>648662</v>
      </c>
      <c r="L27" s="45">
        <f>'Заработная плата 2019'!N29</f>
        <v>195895.924</v>
      </c>
      <c r="M27" s="16">
        <f>K27+L27</f>
        <v>844557.924</v>
      </c>
      <c r="N27" s="34">
        <f>SUM(C27+D27+E27+F27+G27+I27+K27+L27+H27+J27)</f>
        <v>1093557.924</v>
      </c>
      <c r="O27" s="16">
        <v>1216</v>
      </c>
      <c r="P27" s="16"/>
      <c r="Q27" s="16">
        <f>O27+P27</f>
        <v>1216</v>
      </c>
      <c r="R27" s="37">
        <f t="shared" si="5"/>
        <v>899.3075032894737</v>
      </c>
      <c r="S27" s="23">
        <f t="shared" si="4"/>
        <v>150.4934210526316</v>
      </c>
    </row>
    <row r="28" spans="1:19" ht="12.75">
      <c r="A28" s="2">
        <v>2</v>
      </c>
      <c r="B28" s="41" t="s">
        <v>38</v>
      </c>
      <c r="C28" s="45">
        <v>2370521</v>
      </c>
      <c r="D28" s="45">
        <v>113700</v>
      </c>
      <c r="E28" s="45">
        <v>0</v>
      </c>
      <c r="F28" s="45">
        <v>7124</v>
      </c>
      <c r="G28" s="45">
        <v>40404</v>
      </c>
      <c r="H28" s="45"/>
      <c r="I28" s="45"/>
      <c r="J28" s="45"/>
      <c r="K28" s="45">
        <f>'Заработная плата 2019'!M31</f>
        <v>4805280</v>
      </c>
      <c r="L28" s="45">
        <f>'Заработная плата 2019'!N31</f>
        <v>1451194.56</v>
      </c>
      <c r="M28" s="16">
        <f>K28+L28</f>
        <v>6256474.5600000005</v>
      </c>
      <c r="N28" s="34">
        <f>SUM(C28+D28+E28+F28+G28+I28+K28+L28+H28+J28)</f>
        <v>8788223.56</v>
      </c>
      <c r="O28" s="16">
        <v>1135</v>
      </c>
      <c r="P28" s="16"/>
      <c r="Q28" s="16">
        <f>O28+P28</f>
        <v>1135</v>
      </c>
      <c r="R28" s="37">
        <f t="shared" si="5"/>
        <v>7742.928246696036</v>
      </c>
      <c r="S28" s="23">
        <f t="shared" si="4"/>
        <v>2188.7409691629955</v>
      </c>
    </row>
    <row r="29" spans="1:19" ht="12.75">
      <c r="A29" s="2">
        <v>3</v>
      </c>
      <c r="B29" s="40" t="s">
        <v>39</v>
      </c>
      <c r="C29" s="45">
        <v>429075</v>
      </c>
      <c r="D29" s="45">
        <v>20000</v>
      </c>
      <c r="E29" s="45">
        <v>12517</v>
      </c>
      <c r="F29" s="45">
        <v>93405</v>
      </c>
      <c r="G29" s="45">
        <v>30000</v>
      </c>
      <c r="H29" s="45"/>
      <c r="I29" s="45">
        <v>3000</v>
      </c>
      <c r="J29" s="45"/>
      <c r="K29" s="45">
        <f>'Заработная плата 2019'!M32</f>
        <v>1513247</v>
      </c>
      <c r="L29" s="45">
        <f>'Заработная плата 2019'!N32</f>
        <v>457000</v>
      </c>
      <c r="M29" s="16">
        <f>K29+L29</f>
        <v>1970247</v>
      </c>
      <c r="N29" s="34">
        <f>SUM(C29+D29+E29+F29+G29+I29+K29+L29+H29+J29)</f>
        <v>2558244</v>
      </c>
      <c r="O29" s="16">
        <v>271</v>
      </c>
      <c r="P29" s="55"/>
      <c r="Q29" s="16">
        <f>O29+P29</f>
        <v>271</v>
      </c>
      <c r="R29" s="37">
        <f t="shared" si="5"/>
        <v>9440.014760147602</v>
      </c>
      <c r="S29" s="23">
        <f t="shared" si="4"/>
        <v>1657.1033210332102</v>
      </c>
    </row>
    <row r="30" spans="1:19" ht="12.75">
      <c r="A30" s="14">
        <v>3</v>
      </c>
      <c r="B30" s="4" t="s">
        <v>1</v>
      </c>
      <c r="C30" s="28">
        <f aca="true" t="shared" si="10" ref="C30:Q30">SUM(C27:C29)</f>
        <v>2957596</v>
      </c>
      <c r="D30" s="28">
        <f t="shared" si="10"/>
        <v>158700</v>
      </c>
      <c r="E30" s="28">
        <f t="shared" si="10"/>
        <v>27517</v>
      </c>
      <c r="F30" s="28">
        <f t="shared" si="10"/>
        <v>100529</v>
      </c>
      <c r="G30" s="28">
        <f t="shared" si="10"/>
        <v>115404</v>
      </c>
      <c r="H30" s="28">
        <f t="shared" si="10"/>
        <v>0</v>
      </c>
      <c r="I30" s="28">
        <f t="shared" si="10"/>
        <v>9000</v>
      </c>
      <c r="J30" s="28">
        <f t="shared" si="10"/>
        <v>0</v>
      </c>
      <c r="K30" s="28">
        <f t="shared" si="10"/>
        <v>6967189</v>
      </c>
      <c r="L30" s="28">
        <f t="shared" si="10"/>
        <v>2104090.484</v>
      </c>
      <c r="M30" s="28">
        <f t="shared" si="10"/>
        <v>9071279.484000001</v>
      </c>
      <c r="N30" s="28">
        <f t="shared" si="10"/>
        <v>12440025.484000001</v>
      </c>
      <c r="O30" s="28">
        <f t="shared" si="10"/>
        <v>2622</v>
      </c>
      <c r="P30" s="28">
        <f t="shared" si="10"/>
        <v>0</v>
      </c>
      <c r="Q30" s="28">
        <f t="shared" si="10"/>
        <v>2622</v>
      </c>
      <c r="R30" s="58">
        <f t="shared" si="5"/>
        <v>4744.47958962624</v>
      </c>
      <c r="S30" s="74">
        <f t="shared" si="4"/>
        <v>1188.518688024409</v>
      </c>
    </row>
    <row r="31" spans="2:19" ht="12.75">
      <c r="B31" s="11"/>
      <c r="C31" s="35"/>
      <c r="D31" s="35"/>
      <c r="E31" s="35"/>
      <c r="F31" s="35"/>
      <c r="G31" s="35"/>
      <c r="H31" s="35"/>
      <c r="I31" s="35"/>
      <c r="J31" s="35"/>
      <c r="K31" s="35"/>
      <c r="L31" s="35"/>
      <c r="S31" s="6"/>
    </row>
    <row r="32" spans="2:10" ht="13.5">
      <c r="B32" s="59" t="s">
        <v>85</v>
      </c>
      <c r="C32" s="9"/>
      <c r="G32" s="6"/>
      <c r="H32" s="6"/>
      <c r="I32" s="6"/>
      <c r="J32" s="6"/>
    </row>
    <row r="33" spans="2:10" ht="6" customHeight="1">
      <c r="B33" s="59"/>
      <c r="C33" s="9"/>
      <c r="G33" s="6"/>
      <c r="H33" s="6"/>
      <c r="I33" s="6"/>
      <c r="J33" s="6"/>
    </row>
    <row r="34" spans="2:5" ht="12.75">
      <c r="B34" s="65" t="s">
        <v>112</v>
      </c>
      <c r="C34" s="70"/>
      <c r="D34" s="70"/>
      <c r="E34" s="70"/>
    </row>
    <row r="35" spans="2:5" ht="12.75">
      <c r="B35" s="65" t="s">
        <v>113</v>
      </c>
      <c r="C35" s="70"/>
      <c r="D35" s="70"/>
      <c r="E35" s="70"/>
    </row>
    <row r="36" spans="2:5" ht="12.75">
      <c r="B36" s="72" t="s">
        <v>144</v>
      </c>
      <c r="C36" s="70"/>
      <c r="D36" s="70"/>
      <c r="E36" s="70"/>
    </row>
  </sheetData>
  <sheetProtection/>
  <printOptions/>
  <pageMargins left="0.2" right="0.2" top="0.52" bottom="0.49" header="0.5" footer="0.5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">
      <pane xSplit="4" ySplit="5" topLeftCell="L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0" sqref="C30:D31"/>
    </sheetView>
  </sheetViews>
  <sheetFormatPr defaultColWidth="9.00390625" defaultRowHeight="12.75"/>
  <cols>
    <col min="1" max="1" width="3.50390625" style="0" customWidth="1"/>
    <col min="2" max="2" width="28.50390625" style="0" customWidth="1"/>
    <col min="3" max="4" width="10.50390625" style="0" customWidth="1"/>
    <col min="5" max="5" width="11.875" style="0" customWidth="1"/>
    <col min="6" max="6" width="11.50390625" style="0" customWidth="1"/>
    <col min="7" max="7" width="11.875" style="0" customWidth="1"/>
    <col min="8" max="9" width="11.50390625" style="0" customWidth="1"/>
    <col min="10" max="15" width="10.875" style="0" customWidth="1"/>
    <col min="16" max="16" width="4.625" style="0" customWidth="1"/>
    <col min="17" max="17" width="11.125" style="0" customWidth="1"/>
    <col min="18" max="18" width="10.50390625" style="0" customWidth="1"/>
    <col min="19" max="19" width="7.875" style="0" customWidth="1"/>
    <col min="20" max="20" width="8.625" style="0" customWidth="1"/>
    <col min="21" max="21" width="8.125" style="0" customWidth="1"/>
    <col min="22" max="22" width="9.50390625" style="0" customWidth="1"/>
    <col min="23" max="24" width="7.50390625" style="0" customWidth="1"/>
    <col min="25" max="25" width="8.50390625" style="0" customWidth="1"/>
    <col min="26" max="26" width="8.125" style="0" customWidth="1"/>
    <col min="27" max="27" width="8.50390625" style="0" customWidth="1"/>
    <col min="29" max="29" width="5.625" style="0" customWidth="1"/>
    <col min="30" max="30" width="6.875" style="0" customWidth="1"/>
    <col min="31" max="31" width="5.375" style="0" customWidth="1"/>
    <col min="32" max="32" width="3.00390625" style="0" customWidth="1"/>
    <col min="33" max="33" width="2.875" style="0" customWidth="1"/>
    <col min="34" max="34" width="2.625" style="0" customWidth="1"/>
    <col min="35" max="35" width="7.625" style="0" customWidth="1"/>
  </cols>
  <sheetData>
    <row r="1" spans="2:17" ht="12.75">
      <c r="B1" s="15"/>
      <c r="C1" s="15"/>
      <c r="D1" s="1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2.75">
      <c r="B2" s="86" t="s">
        <v>105</v>
      </c>
      <c r="C2" s="86"/>
      <c r="D2" s="86"/>
      <c r="E2" s="86"/>
      <c r="F2" s="86"/>
      <c r="G2" s="86"/>
      <c r="H2" s="86"/>
      <c r="I2" s="86"/>
      <c r="J2" s="86"/>
      <c r="K2" s="15"/>
      <c r="L2" s="15"/>
      <c r="M2" s="15"/>
      <c r="N2" s="15"/>
      <c r="O2" s="15"/>
      <c r="P2" s="15"/>
      <c r="Q2" s="15"/>
    </row>
    <row r="3" spans="2:17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21" ht="12.75">
      <c r="B4" s="3"/>
      <c r="C4" s="3"/>
      <c r="D4" s="3"/>
      <c r="E4" s="87" t="s">
        <v>46</v>
      </c>
      <c r="F4" s="87"/>
      <c r="G4" s="87"/>
      <c r="H4" s="87"/>
      <c r="I4" s="87"/>
      <c r="J4" s="3"/>
      <c r="K4" s="3"/>
      <c r="L4" s="3"/>
      <c r="M4" s="3"/>
      <c r="N4" s="3"/>
      <c r="S4" s="88"/>
      <c r="T4" s="88"/>
      <c r="U4" s="88"/>
    </row>
    <row r="5" spans="1:22" ht="66" customHeight="1">
      <c r="A5" s="1"/>
      <c r="B5" s="48" t="s">
        <v>0</v>
      </c>
      <c r="C5" s="50" t="s">
        <v>45</v>
      </c>
      <c r="D5" s="50" t="s">
        <v>49</v>
      </c>
      <c r="E5" s="49" t="s">
        <v>89</v>
      </c>
      <c r="F5" s="49" t="s">
        <v>90</v>
      </c>
      <c r="G5" s="49" t="s">
        <v>57</v>
      </c>
      <c r="H5" s="49" t="s">
        <v>44</v>
      </c>
      <c r="I5" s="49" t="s">
        <v>91</v>
      </c>
      <c r="J5" s="7" t="s">
        <v>50</v>
      </c>
      <c r="K5" s="7" t="s">
        <v>51</v>
      </c>
      <c r="L5" s="51" t="s">
        <v>47</v>
      </c>
      <c r="M5" s="7" t="s">
        <v>48</v>
      </c>
      <c r="N5" s="7" t="s">
        <v>52</v>
      </c>
      <c r="O5" s="51" t="s">
        <v>53</v>
      </c>
      <c r="P5" s="32"/>
      <c r="Q5" s="32" t="s">
        <v>54</v>
      </c>
      <c r="R5" s="32" t="s">
        <v>55</v>
      </c>
      <c r="S5" s="7" t="s">
        <v>58</v>
      </c>
      <c r="T5" s="7" t="s">
        <v>60</v>
      </c>
      <c r="U5" s="7" t="s">
        <v>61</v>
      </c>
      <c r="V5" s="44" t="s">
        <v>123</v>
      </c>
    </row>
    <row r="6" spans="1:22" ht="12.75">
      <c r="A6" s="2">
        <v>1</v>
      </c>
      <c r="B6" s="2" t="s">
        <v>7</v>
      </c>
      <c r="C6" s="46">
        <v>4332953</v>
      </c>
      <c r="D6" s="46">
        <v>1308552</v>
      </c>
      <c r="E6" s="2">
        <v>2528083</v>
      </c>
      <c r="F6" s="2">
        <v>315985</v>
      </c>
      <c r="G6" s="2">
        <v>315985</v>
      </c>
      <c r="H6" s="2"/>
      <c r="I6" s="18">
        <f>C6-E6-F6</f>
        <v>1488885</v>
      </c>
      <c r="J6" s="45">
        <f>E6+G6</f>
        <v>2844068</v>
      </c>
      <c r="K6" s="45">
        <f>J6*0.302</f>
        <v>858908.536</v>
      </c>
      <c r="L6" s="52">
        <f>J6+K6</f>
        <v>3702976.536</v>
      </c>
      <c r="M6" s="45">
        <f>H6+I6</f>
        <v>1488885</v>
      </c>
      <c r="N6" s="45">
        <f>M6*0.302</f>
        <v>449643.26999999996</v>
      </c>
      <c r="O6" s="52">
        <f>M6+N6</f>
        <v>1938528.27</v>
      </c>
      <c r="P6" s="16"/>
      <c r="Q6" s="16">
        <f>J6+M6</f>
        <v>4332953</v>
      </c>
      <c r="R6" s="16">
        <f>K6+N6</f>
        <v>1308551.8059999999</v>
      </c>
      <c r="S6" s="16">
        <v>36</v>
      </c>
      <c r="T6" s="16">
        <v>22</v>
      </c>
      <c r="U6" s="16">
        <f>S6+T6</f>
        <v>58</v>
      </c>
      <c r="V6" s="23">
        <f>(L6+O6)/U6</f>
        <v>97267.3242413793</v>
      </c>
    </row>
    <row r="7" spans="1:22" ht="12.75">
      <c r="A7" s="2">
        <f aca="true" t="shared" si="0" ref="A7:A20">SUM(A6+1)</f>
        <v>2</v>
      </c>
      <c r="B7" s="5" t="s">
        <v>8</v>
      </c>
      <c r="C7" s="46">
        <v>3843091</v>
      </c>
      <c r="D7" s="46">
        <v>1160613</v>
      </c>
      <c r="E7" s="5">
        <v>2733175</v>
      </c>
      <c r="F7" s="5">
        <v>334906</v>
      </c>
      <c r="G7" s="5">
        <v>334906</v>
      </c>
      <c r="H7" s="5"/>
      <c r="I7" s="18">
        <f>C7-E7-F7</f>
        <v>775010</v>
      </c>
      <c r="J7" s="45">
        <f aca="true" t="shared" si="1" ref="J7:J32">E7+G7</f>
        <v>3068081</v>
      </c>
      <c r="K7" s="45">
        <f aca="true" t="shared" si="2" ref="K7:K32">J7*0.302</f>
        <v>926560.4619999999</v>
      </c>
      <c r="L7" s="52">
        <f aca="true" t="shared" si="3" ref="L7:L32">J7+K7</f>
        <v>3994641.462</v>
      </c>
      <c r="M7" s="45">
        <f aca="true" t="shared" si="4" ref="M7:M32">H7+I7</f>
        <v>775010</v>
      </c>
      <c r="N7" s="45">
        <f aca="true" t="shared" si="5" ref="N7:N20">M7*0.302</f>
        <v>234053.02</v>
      </c>
      <c r="O7" s="52">
        <f aca="true" t="shared" si="6" ref="O7:O32">M7+N7</f>
        <v>1009063.02</v>
      </c>
      <c r="P7" s="16"/>
      <c r="Q7" s="16">
        <f aca="true" t="shared" si="7" ref="Q7:Q32">J7+M7</f>
        <v>3843091</v>
      </c>
      <c r="R7" s="16">
        <f aca="true" t="shared" si="8" ref="R7:R32">K7+N7</f>
        <v>1160613.4819999998</v>
      </c>
      <c r="S7" s="16">
        <v>70</v>
      </c>
      <c r="T7" s="16">
        <v>0</v>
      </c>
      <c r="U7" s="16">
        <f aca="true" t="shared" si="9" ref="U7:U20">S7+T7</f>
        <v>70</v>
      </c>
      <c r="V7" s="23">
        <f aca="true" t="shared" si="10" ref="V7:V32">(L7+O7)/U7</f>
        <v>71481.4926</v>
      </c>
    </row>
    <row r="8" spans="1:22" ht="12.75">
      <c r="A8" s="2">
        <f t="shared" si="0"/>
        <v>3</v>
      </c>
      <c r="B8" s="5" t="s">
        <v>9</v>
      </c>
      <c r="C8" s="46">
        <v>4550873</v>
      </c>
      <c r="D8" s="46">
        <v>1374363</v>
      </c>
      <c r="E8" s="5">
        <v>2957390</v>
      </c>
      <c r="F8" s="5">
        <v>497502</v>
      </c>
      <c r="G8" s="5">
        <v>497502</v>
      </c>
      <c r="H8" s="5"/>
      <c r="I8" s="18">
        <f>C8-E8-F8</f>
        <v>1095981</v>
      </c>
      <c r="J8" s="45">
        <f t="shared" si="1"/>
        <v>3454892</v>
      </c>
      <c r="K8" s="45">
        <f t="shared" si="2"/>
        <v>1043377.384</v>
      </c>
      <c r="L8" s="52">
        <f t="shared" si="3"/>
        <v>4498269.384</v>
      </c>
      <c r="M8" s="45">
        <f t="shared" si="4"/>
        <v>1095981</v>
      </c>
      <c r="N8" s="45">
        <f t="shared" si="5"/>
        <v>330986.262</v>
      </c>
      <c r="O8" s="52">
        <f t="shared" si="6"/>
        <v>1426967.262</v>
      </c>
      <c r="P8" s="16"/>
      <c r="Q8" s="16">
        <f t="shared" si="7"/>
        <v>4550873</v>
      </c>
      <c r="R8" s="16">
        <f t="shared" si="8"/>
        <v>1374363.646</v>
      </c>
      <c r="S8" s="16">
        <v>73</v>
      </c>
      <c r="T8" s="16">
        <v>34</v>
      </c>
      <c r="U8" s="16">
        <f t="shared" si="9"/>
        <v>107</v>
      </c>
      <c r="V8" s="23">
        <f t="shared" si="10"/>
        <v>55376.043420560745</v>
      </c>
    </row>
    <row r="9" spans="1:22" ht="12.75">
      <c r="A9" s="2">
        <f t="shared" si="0"/>
        <v>4</v>
      </c>
      <c r="B9" s="5" t="s">
        <v>10</v>
      </c>
      <c r="C9" s="46">
        <v>5026000</v>
      </c>
      <c r="D9" s="46">
        <v>1517852</v>
      </c>
      <c r="E9" s="5">
        <v>3795667</v>
      </c>
      <c r="F9" s="5">
        <v>339054</v>
      </c>
      <c r="G9" s="5">
        <v>339054</v>
      </c>
      <c r="H9" s="5"/>
      <c r="I9" s="18">
        <f>C9-E9-F9</f>
        <v>891279</v>
      </c>
      <c r="J9" s="45">
        <f t="shared" si="1"/>
        <v>4134721</v>
      </c>
      <c r="K9" s="45">
        <f t="shared" si="2"/>
        <v>1248685.7419999999</v>
      </c>
      <c r="L9" s="52">
        <f t="shared" si="3"/>
        <v>5383406.742</v>
      </c>
      <c r="M9" s="45">
        <f t="shared" si="4"/>
        <v>891279</v>
      </c>
      <c r="N9" s="45">
        <f t="shared" si="5"/>
        <v>269166.258</v>
      </c>
      <c r="O9" s="52">
        <f t="shared" si="6"/>
        <v>1160445.258</v>
      </c>
      <c r="P9" s="16"/>
      <c r="Q9" s="16">
        <f t="shared" si="7"/>
        <v>5026000</v>
      </c>
      <c r="R9" s="16">
        <f t="shared" si="8"/>
        <v>1517851.9999999998</v>
      </c>
      <c r="S9" s="16">
        <v>87</v>
      </c>
      <c r="T9" s="16">
        <v>15</v>
      </c>
      <c r="U9" s="16">
        <f t="shared" si="9"/>
        <v>102</v>
      </c>
      <c r="V9" s="23">
        <f t="shared" si="10"/>
        <v>64155.41176470588</v>
      </c>
    </row>
    <row r="10" spans="1:22" ht="12.75">
      <c r="A10" s="2">
        <f t="shared" si="0"/>
        <v>5</v>
      </c>
      <c r="B10" s="5" t="s">
        <v>12</v>
      </c>
      <c r="C10" s="46">
        <v>4408654</v>
      </c>
      <c r="D10" s="46">
        <v>1331413</v>
      </c>
      <c r="E10" s="5">
        <v>3342684</v>
      </c>
      <c r="F10" s="5">
        <v>285125</v>
      </c>
      <c r="G10" s="5">
        <v>285125</v>
      </c>
      <c r="H10" s="5"/>
      <c r="I10" s="18">
        <f>C10-E10-F10</f>
        <v>780845</v>
      </c>
      <c r="J10" s="45">
        <f t="shared" si="1"/>
        <v>3627809</v>
      </c>
      <c r="K10" s="45">
        <f t="shared" si="2"/>
        <v>1095598.318</v>
      </c>
      <c r="L10" s="52">
        <f t="shared" si="3"/>
        <v>4723407.318</v>
      </c>
      <c r="M10" s="45">
        <f t="shared" si="4"/>
        <v>780845</v>
      </c>
      <c r="N10" s="45">
        <f t="shared" si="5"/>
        <v>235815.19</v>
      </c>
      <c r="O10" s="52">
        <f t="shared" si="6"/>
        <v>1016660.19</v>
      </c>
      <c r="P10" s="16"/>
      <c r="Q10" s="16">
        <f t="shared" si="7"/>
        <v>4408654</v>
      </c>
      <c r="R10" s="16">
        <f t="shared" si="8"/>
        <v>1331413.508</v>
      </c>
      <c r="S10" s="16">
        <v>62</v>
      </c>
      <c r="T10" s="16">
        <v>15</v>
      </c>
      <c r="U10" s="16">
        <f t="shared" si="9"/>
        <v>77</v>
      </c>
      <c r="V10" s="23">
        <f t="shared" si="10"/>
        <v>74546.33127272727</v>
      </c>
    </row>
    <row r="11" spans="1:22" ht="12.75">
      <c r="A11" s="2">
        <f t="shared" si="0"/>
        <v>6</v>
      </c>
      <c r="B11" s="5" t="s">
        <v>14</v>
      </c>
      <c r="C11" s="46">
        <v>7288975</v>
      </c>
      <c r="D11" s="46">
        <v>2201270</v>
      </c>
      <c r="E11" s="5">
        <v>5077819</v>
      </c>
      <c r="F11" s="5">
        <v>723942</v>
      </c>
      <c r="G11" s="5">
        <v>723942</v>
      </c>
      <c r="H11" s="5"/>
      <c r="I11" s="18">
        <f aca="true" t="shared" si="11" ref="I11:I32">C11-E11-F11</f>
        <v>1487214</v>
      </c>
      <c r="J11" s="45">
        <f t="shared" si="1"/>
        <v>5801761</v>
      </c>
      <c r="K11" s="45">
        <f t="shared" si="2"/>
        <v>1752131.822</v>
      </c>
      <c r="L11" s="52">
        <f t="shared" si="3"/>
        <v>7553892.822</v>
      </c>
      <c r="M11" s="45">
        <f t="shared" si="4"/>
        <v>1487214</v>
      </c>
      <c r="N11" s="45">
        <f t="shared" si="5"/>
        <v>449138.62799999997</v>
      </c>
      <c r="O11" s="52">
        <f t="shared" si="6"/>
        <v>1936352.628</v>
      </c>
      <c r="P11" s="16"/>
      <c r="Q11" s="16">
        <f t="shared" si="7"/>
        <v>7288975</v>
      </c>
      <c r="R11" s="16">
        <f t="shared" si="8"/>
        <v>2201270.4499999997</v>
      </c>
      <c r="S11" s="16">
        <v>121</v>
      </c>
      <c r="T11" s="16">
        <v>29</v>
      </c>
      <c r="U11" s="16">
        <f t="shared" si="9"/>
        <v>150</v>
      </c>
      <c r="V11" s="23">
        <f t="shared" si="10"/>
        <v>63268.30299999999</v>
      </c>
    </row>
    <row r="12" spans="1:22" ht="12.75">
      <c r="A12" s="2">
        <f t="shared" si="0"/>
        <v>7</v>
      </c>
      <c r="B12" s="5" t="s">
        <v>15</v>
      </c>
      <c r="C12" s="46">
        <v>6965799</v>
      </c>
      <c r="D12" s="46">
        <v>2103671</v>
      </c>
      <c r="E12" s="5">
        <v>5401595</v>
      </c>
      <c r="F12" s="5">
        <v>757636</v>
      </c>
      <c r="G12" s="5">
        <v>757636</v>
      </c>
      <c r="H12" s="5"/>
      <c r="I12" s="18">
        <f t="shared" si="11"/>
        <v>806568</v>
      </c>
      <c r="J12" s="45">
        <f t="shared" si="1"/>
        <v>6159231</v>
      </c>
      <c r="K12" s="45">
        <f t="shared" si="2"/>
        <v>1860087.7619999999</v>
      </c>
      <c r="L12" s="52">
        <f t="shared" si="3"/>
        <v>8019318.762</v>
      </c>
      <c r="M12" s="45">
        <f t="shared" si="4"/>
        <v>806568</v>
      </c>
      <c r="N12" s="45">
        <f t="shared" si="5"/>
        <v>243583.536</v>
      </c>
      <c r="O12" s="52">
        <f t="shared" si="6"/>
        <v>1050151.536</v>
      </c>
      <c r="P12" s="16"/>
      <c r="Q12" s="16">
        <f t="shared" si="7"/>
        <v>6965799</v>
      </c>
      <c r="R12" s="16">
        <f t="shared" si="8"/>
        <v>2103671.298</v>
      </c>
      <c r="S12" s="16">
        <v>177</v>
      </c>
      <c r="T12" s="16">
        <v>21</v>
      </c>
      <c r="U12" s="16">
        <f t="shared" si="9"/>
        <v>198</v>
      </c>
      <c r="V12" s="23">
        <f t="shared" si="10"/>
        <v>45805.405545454545</v>
      </c>
    </row>
    <row r="13" spans="1:22" ht="12.75">
      <c r="A13" s="2">
        <f t="shared" si="0"/>
        <v>8</v>
      </c>
      <c r="B13" s="5" t="s">
        <v>17</v>
      </c>
      <c r="C13" s="46">
        <v>4176750</v>
      </c>
      <c r="D13" s="46">
        <v>1261378</v>
      </c>
      <c r="E13" s="5">
        <v>2870173</v>
      </c>
      <c r="F13" s="5">
        <v>404315</v>
      </c>
      <c r="G13" s="5">
        <v>404315</v>
      </c>
      <c r="H13" s="5"/>
      <c r="I13" s="18">
        <f t="shared" si="11"/>
        <v>902262</v>
      </c>
      <c r="J13" s="45">
        <f t="shared" si="1"/>
        <v>3274488</v>
      </c>
      <c r="K13" s="45">
        <f t="shared" si="2"/>
        <v>988895.3759999999</v>
      </c>
      <c r="L13" s="52">
        <f t="shared" si="3"/>
        <v>4263383.376</v>
      </c>
      <c r="M13" s="45">
        <f t="shared" si="4"/>
        <v>902262</v>
      </c>
      <c r="N13" s="45">
        <f t="shared" si="5"/>
        <v>272483.124</v>
      </c>
      <c r="O13" s="52">
        <f t="shared" si="6"/>
        <v>1174745.124</v>
      </c>
      <c r="P13" s="16"/>
      <c r="Q13" s="16">
        <f t="shared" si="7"/>
        <v>4176750</v>
      </c>
      <c r="R13" s="16">
        <f t="shared" si="8"/>
        <v>1261378.5</v>
      </c>
      <c r="S13" s="16">
        <v>69</v>
      </c>
      <c r="T13" s="16">
        <v>20</v>
      </c>
      <c r="U13" s="16">
        <f t="shared" si="9"/>
        <v>89</v>
      </c>
      <c r="V13" s="23">
        <f t="shared" si="10"/>
        <v>61102.56741573034</v>
      </c>
    </row>
    <row r="14" spans="1:22" ht="12.75">
      <c r="A14" s="2">
        <f t="shared" si="0"/>
        <v>9</v>
      </c>
      <c r="B14" s="5" t="s">
        <v>18</v>
      </c>
      <c r="C14" s="46">
        <v>8248410</v>
      </c>
      <c r="D14" s="46">
        <v>2491020</v>
      </c>
      <c r="E14" s="5">
        <v>6176128</v>
      </c>
      <c r="F14" s="5">
        <v>672341</v>
      </c>
      <c r="G14" s="5">
        <v>672341</v>
      </c>
      <c r="H14" s="5"/>
      <c r="I14" s="18">
        <f t="shared" si="11"/>
        <v>1399941</v>
      </c>
      <c r="J14" s="45">
        <f t="shared" si="1"/>
        <v>6848469</v>
      </c>
      <c r="K14" s="45">
        <f t="shared" si="2"/>
        <v>2068237.638</v>
      </c>
      <c r="L14" s="52">
        <f t="shared" si="3"/>
        <v>8916706.638</v>
      </c>
      <c r="M14" s="45">
        <f t="shared" si="4"/>
        <v>1399941</v>
      </c>
      <c r="N14" s="45">
        <f t="shared" si="5"/>
        <v>422782.182</v>
      </c>
      <c r="O14" s="52">
        <f t="shared" si="6"/>
        <v>1822723.182</v>
      </c>
      <c r="P14" s="16"/>
      <c r="Q14" s="16">
        <f t="shared" si="7"/>
        <v>8248410</v>
      </c>
      <c r="R14" s="16">
        <f t="shared" si="8"/>
        <v>2491019.82</v>
      </c>
      <c r="S14" s="16">
        <v>125</v>
      </c>
      <c r="T14" s="16">
        <v>37</v>
      </c>
      <c r="U14" s="16">
        <f t="shared" si="9"/>
        <v>162</v>
      </c>
      <c r="V14" s="23">
        <f t="shared" si="10"/>
        <v>66292.77666666667</v>
      </c>
    </row>
    <row r="15" spans="1:22" ht="12.75">
      <c r="A15" s="2">
        <f t="shared" si="0"/>
        <v>10</v>
      </c>
      <c r="B15" s="64" t="s">
        <v>19</v>
      </c>
      <c r="C15" s="46">
        <v>6532677</v>
      </c>
      <c r="D15" s="46">
        <v>1972868</v>
      </c>
      <c r="E15" s="5">
        <v>4237418</v>
      </c>
      <c r="F15" s="5">
        <v>776455</v>
      </c>
      <c r="G15" s="5">
        <v>776455</v>
      </c>
      <c r="H15" s="5"/>
      <c r="I15" s="18">
        <f t="shared" si="11"/>
        <v>1518804</v>
      </c>
      <c r="J15" s="45">
        <f t="shared" si="1"/>
        <v>5013873</v>
      </c>
      <c r="K15" s="45">
        <f t="shared" si="2"/>
        <v>1514189.646</v>
      </c>
      <c r="L15" s="52">
        <f t="shared" si="3"/>
        <v>6528062.646</v>
      </c>
      <c r="M15" s="45">
        <f t="shared" si="4"/>
        <v>1518804</v>
      </c>
      <c r="N15" s="45">
        <f t="shared" si="5"/>
        <v>458678.80799999996</v>
      </c>
      <c r="O15" s="52">
        <f t="shared" si="6"/>
        <v>1977482.808</v>
      </c>
      <c r="P15" s="16"/>
      <c r="Q15" s="16">
        <f t="shared" si="7"/>
        <v>6532677</v>
      </c>
      <c r="R15" s="16">
        <f t="shared" si="8"/>
        <v>1972868.454</v>
      </c>
      <c r="S15" s="16">
        <v>108</v>
      </c>
      <c r="T15" s="16">
        <v>28</v>
      </c>
      <c r="U15" s="16">
        <f t="shared" si="9"/>
        <v>136</v>
      </c>
      <c r="V15" s="23">
        <f t="shared" si="10"/>
        <v>62540.775397058824</v>
      </c>
    </row>
    <row r="16" spans="1:22" ht="12.75">
      <c r="A16" s="2">
        <f t="shared" si="0"/>
        <v>11</v>
      </c>
      <c r="B16" s="5" t="s">
        <v>20</v>
      </c>
      <c r="C16" s="46">
        <v>3938056</v>
      </c>
      <c r="D16" s="46">
        <v>1189293</v>
      </c>
      <c r="E16" s="5">
        <v>2793276</v>
      </c>
      <c r="F16" s="5">
        <v>396610</v>
      </c>
      <c r="G16" s="5">
        <v>396610</v>
      </c>
      <c r="H16" s="5"/>
      <c r="I16" s="18">
        <f t="shared" si="11"/>
        <v>748170</v>
      </c>
      <c r="J16" s="45">
        <f t="shared" si="1"/>
        <v>3189886</v>
      </c>
      <c r="K16" s="45">
        <f t="shared" si="2"/>
        <v>963345.5719999999</v>
      </c>
      <c r="L16" s="52">
        <f t="shared" si="3"/>
        <v>4153231.5719999997</v>
      </c>
      <c r="M16" s="45">
        <f t="shared" si="4"/>
        <v>748170</v>
      </c>
      <c r="N16" s="45">
        <f t="shared" si="5"/>
        <v>225947.34</v>
      </c>
      <c r="O16" s="52">
        <f t="shared" si="6"/>
        <v>974117.34</v>
      </c>
      <c r="P16" s="16"/>
      <c r="Q16" s="16">
        <f t="shared" si="7"/>
        <v>3938056</v>
      </c>
      <c r="R16" s="16">
        <f t="shared" si="8"/>
        <v>1189292.912</v>
      </c>
      <c r="S16" s="16">
        <v>43</v>
      </c>
      <c r="T16" s="16">
        <v>13</v>
      </c>
      <c r="U16" s="16">
        <f t="shared" si="9"/>
        <v>56</v>
      </c>
      <c r="V16" s="23">
        <f t="shared" si="10"/>
        <v>91559.802</v>
      </c>
    </row>
    <row r="17" spans="1:22" ht="12.75">
      <c r="A17" s="2">
        <f t="shared" si="0"/>
        <v>12</v>
      </c>
      <c r="B17" s="2" t="s">
        <v>21</v>
      </c>
      <c r="C17" s="46">
        <v>10410623</v>
      </c>
      <c r="D17" s="46">
        <v>3144008</v>
      </c>
      <c r="E17" s="2">
        <v>7638078</v>
      </c>
      <c r="F17" s="2">
        <v>651498</v>
      </c>
      <c r="G17" s="2">
        <v>651498</v>
      </c>
      <c r="H17" s="2"/>
      <c r="I17" s="18">
        <f t="shared" si="11"/>
        <v>2121047</v>
      </c>
      <c r="J17" s="45">
        <f t="shared" si="1"/>
        <v>8289576</v>
      </c>
      <c r="K17" s="45">
        <f t="shared" si="2"/>
        <v>2503451.952</v>
      </c>
      <c r="L17" s="52">
        <f t="shared" si="3"/>
        <v>10793027.952</v>
      </c>
      <c r="M17" s="45">
        <f t="shared" si="4"/>
        <v>2121047</v>
      </c>
      <c r="N17" s="45">
        <f t="shared" si="5"/>
        <v>640556.194</v>
      </c>
      <c r="O17" s="52">
        <f t="shared" si="6"/>
        <v>2761603.194</v>
      </c>
      <c r="P17" s="16"/>
      <c r="Q17" s="16">
        <f t="shared" si="7"/>
        <v>10410623</v>
      </c>
      <c r="R17" s="16">
        <f t="shared" si="8"/>
        <v>3144008.146</v>
      </c>
      <c r="S17" s="16">
        <v>155</v>
      </c>
      <c r="T17" s="16">
        <v>51</v>
      </c>
      <c r="U17" s="16">
        <f t="shared" si="9"/>
        <v>206</v>
      </c>
      <c r="V17" s="23">
        <f t="shared" si="10"/>
        <v>65799.18032038835</v>
      </c>
    </row>
    <row r="18" spans="1:22" ht="12.75">
      <c r="A18" s="2">
        <f t="shared" si="0"/>
        <v>13</v>
      </c>
      <c r="B18" s="64" t="s">
        <v>22</v>
      </c>
      <c r="C18" s="46">
        <v>8081742</v>
      </c>
      <c r="D18" s="46">
        <v>2440686</v>
      </c>
      <c r="E18" s="2">
        <v>5384597</v>
      </c>
      <c r="F18" s="2">
        <v>1065729</v>
      </c>
      <c r="G18" s="2">
        <v>1065729</v>
      </c>
      <c r="H18" s="16"/>
      <c r="I18" s="18">
        <f t="shared" si="11"/>
        <v>1631416</v>
      </c>
      <c r="J18" s="45">
        <f t="shared" si="1"/>
        <v>6450326</v>
      </c>
      <c r="K18" s="45">
        <f t="shared" si="2"/>
        <v>1947998.452</v>
      </c>
      <c r="L18" s="52">
        <f t="shared" si="3"/>
        <v>8398324.452</v>
      </c>
      <c r="M18" s="45">
        <f t="shared" si="4"/>
        <v>1631416</v>
      </c>
      <c r="N18" s="45">
        <f t="shared" si="5"/>
        <v>492687.632</v>
      </c>
      <c r="O18" s="52">
        <f t="shared" si="6"/>
        <v>2124103.632</v>
      </c>
      <c r="P18" s="16"/>
      <c r="Q18" s="16">
        <f t="shared" si="7"/>
        <v>8081742</v>
      </c>
      <c r="R18" s="16">
        <f t="shared" si="8"/>
        <v>2440686.084</v>
      </c>
      <c r="S18" s="16">
        <v>265</v>
      </c>
      <c r="T18" s="16">
        <v>0</v>
      </c>
      <c r="U18" s="16">
        <f t="shared" si="9"/>
        <v>265</v>
      </c>
      <c r="V18" s="23">
        <f t="shared" si="10"/>
        <v>39707.27578867924</v>
      </c>
    </row>
    <row r="19" spans="1:22" ht="12.75">
      <c r="A19" s="2">
        <f t="shared" si="0"/>
        <v>14</v>
      </c>
      <c r="B19" s="2" t="s">
        <v>23</v>
      </c>
      <c r="C19" s="46">
        <v>20591907</v>
      </c>
      <c r="D19" s="46">
        <v>6218756</v>
      </c>
      <c r="E19" s="2">
        <v>15800168</v>
      </c>
      <c r="F19" s="2">
        <v>1170855</v>
      </c>
      <c r="G19" s="2">
        <v>1170855</v>
      </c>
      <c r="H19" s="2"/>
      <c r="I19" s="18">
        <f t="shared" si="11"/>
        <v>3620884</v>
      </c>
      <c r="J19" s="45">
        <f t="shared" si="1"/>
        <v>16971023</v>
      </c>
      <c r="K19" s="45">
        <f t="shared" si="2"/>
        <v>5125248.9459999995</v>
      </c>
      <c r="L19" s="52">
        <f t="shared" si="3"/>
        <v>22096271.946</v>
      </c>
      <c r="M19" s="45">
        <f t="shared" si="4"/>
        <v>3620884</v>
      </c>
      <c r="N19" s="45">
        <v>1093506</v>
      </c>
      <c r="O19" s="52">
        <f t="shared" si="6"/>
        <v>4714390</v>
      </c>
      <c r="P19" s="16"/>
      <c r="Q19" s="16">
        <f t="shared" si="7"/>
        <v>20591907</v>
      </c>
      <c r="R19" s="16">
        <f t="shared" si="8"/>
        <v>6218754.9459999995</v>
      </c>
      <c r="S19" s="16">
        <v>1024</v>
      </c>
      <c r="T19" s="16">
        <v>0</v>
      </c>
      <c r="U19" s="16">
        <f t="shared" si="9"/>
        <v>1024</v>
      </c>
      <c r="V19" s="23">
        <f t="shared" si="10"/>
        <v>26182.287056640624</v>
      </c>
    </row>
    <row r="20" spans="1:22" ht="12.75">
      <c r="A20" s="2">
        <f t="shared" si="0"/>
        <v>15</v>
      </c>
      <c r="B20" s="2" t="s">
        <v>24</v>
      </c>
      <c r="C20" s="46">
        <v>9423767</v>
      </c>
      <c r="D20" s="46">
        <v>2845980</v>
      </c>
      <c r="E20" s="2">
        <v>6285200</v>
      </c>
      <c r="F20" s="2">
        <v>1053992</v>
      </c>
      <c r="G20" s="2">
        <v>1053992</v>
      </c>
      <c r="H20" s="2"/>
      <c r="I20" s="18">
        <f t="shared" si="11"/>
        <v>2084575</v>
      </c>
      <c r="J20" s="45">
        <f t="shared" si="1"/>
        <v>7339192</v>
      </c>
      <c r="K20" s="45">
        <f t="shared" si="2"/>
        <v>2216435.9839999997</v>
      </c>
      <c r="L20" s="52">
        <f t="shared" si="3"/>
        <v>9555627.984</v>
      </c>
      <c r="M20" s="45">
        <f t="shared" si="4"/>
        <v>2084575</v>
      </c>
      <c r="N20" s="45">
        <f t="shared" si="5"/>
        <v>629541.65</v>
      </c>
      <c r="O20" s="52">
        <f t="shared" si="6"/>
        <v>2714116.65</v>
      </c>
      <c r="P20" s="16"/>
      <c r="Q20" s="16">
        <f t="shared" si="7"/>
        <v>9423767</v>
      </c>
      <c r="R20" s="16">
        <f t="shared" si="8"/>
        <v>2845977.6339999996</v>
      </c>
      <c r="S20" s="16">
        <v>295</v>
      </c>
      <c r="T20" s="16">
        <v>0</v>
      </c>
      <c r="U20" s="16">
        <f t="shared" si="9"/>
        <v>295</v>
      </c>
      <c r="V20" s="23">
        <f t="shared" si="10"/>
        <v>41592.35469152542</v>
      </c>
    </row>
    <row r="21" spans="1:22" ht="12.75">
      <c r="A21" s="14">
        <v>15</v>
      </c>
      <c r="B21" s="4" t="s">
        <v>1</v>
      </c>
      <c r="C21" s="17">
        <f aca="true" t="shared" si="12" ref="C21:U21">SUM(C6:C20)</f>
        <v>107820277</v>
      </c>
      <c r="D21" s="17">
        <f t="shared" si="12"/>
        <v>32561723</v>
      </c>
      <c r="E21" s="17">
        <f t="shared" si="12"/>
        <v>77021451</v>
      </c>
      <c r="F21" s="17">
        <f t="shared" si="12"/>
        <v>9445945</v>
      </c>
      <c r="G21" s="17">
        <f t="shared" si="12"/>
        <v>9445945</v>
      </c>
      <c r="H21" s="17">
        <f t="shared" si="12"/>
        <v>0</v>
      </c>
      <c r="I21" s="17">
        <f t="shared" si="12"/>
        <v>21352881</v>
      </c>
      <c r="J21" s="17">
        <f t="shared" si="12"/>
        <v>86467396</v>
      </c>
      <c r="K21" s="17">
        <f t="shared" si="12"/>
        <v>26113153.592</v>
      </c>
      <c r="L21" s="17">
        <f t="shared" si="12"/>
        <v>112580549.592</v>
      </c>
      <c r="M21" s="17">
        <f t="shared" si="12"/>
        <v>21352881</v>
      </c>
      <c r="N21" s="17">
        <f t="shared" si="12"/>
        <v>6448569.0940000005</v>
      </c>
      <c r="O21" s="17">
        <f t="shared" si="12"/>
        <v>27801450.093999997</v>
      </c>
      <c r="P21" s="17">
        <f t="shared" si="12"/>
        <v>0</v>
      </c>
      <c r="Q21" s="17">
        <f t="shared" si="12"/>
        <v>107820277</v>
      </c>
      <c r="R21" s="17">
        <f t="shared" si="12"/>
        <v>32561722.685999997</v>
      </c>
      <c r="S21" s="17">
        <f t="shared" si="12"/>
        <v>2710</v>
      </c>
      <c r="T21" s="17">
        <f t="shared" si="12"/>
        <v>285</v>
      </c>
      <c r="U21" s="17">
        <f t="shared" si="12"/>
        <v>2995</v>
      </c>
      <c r="V21" s="74">
        <f t="shared" si="10"/>
        <v>46872.120095492486</v>
      </c>
    </row>
    <row r="22" spans="1:22" ht="12.75">
      <c r="A22" s="2">
        <v>1</v>
      </c>
      <c r="B22" s="2" t="s">
        <v>25</v>
      </c>
      <c r="C22" s="71">
        <v>9469207</v>
      </c>
      <c r="D22" s="71">
        <v>2859700</v>
      </c>
      <c r="E22" s="2">
        <v>5310230</v>
      </c>
      <c r="F22" s="2">
        <v>326204</v>
      </c>
      <c r="G22" s="2">
        <v>326204</v>
      </c>
      <c r="H22" s="2"/>
      <c r="I22" s="18">
        <f t="shared" si="11"/>
        <v>3832773</v>
      </c>
      <c r="J22" s="45">
        <f t="shared" si="1"/>
        <v>5636434</v>
      </c>
      <c r="K22" s="45">
        <f t="shared" si="2"/>
        <v>1702203.068</v>
      </c>
      <c r="L22" s="52">
        <f t="shared" si="3"/>
        <v>7338637.068</v>
      </c>
      <c r="M22" s="45">
        <f t="shared" si="4"/>
        <v>3832773</v>
      </c>
      <c r="N22" s="45">
        <f aca="true" t="shared" si="13" ref="N22:N27">M22*0.302</f>
        <v>1157497.446</v>
      </c>
      <c r="O22" s="52">
        <f t="shared" si="6"/>
        <v>4990270.446</v>
      </c>
      <c r="P22" s="16"/>
      <c r="Q22" s="16">
        <f t="shared" si="7"/>
        <v>9469207</v>
      </c>
      <c r="R22" s="16">
        <f t="shared" si="8"/>
        <v>2859700.514</v>
      </c>
      <c r="S22" s="16">
        <v>215</v>
      </c>
      <c r="T22" s="16"/>
      <c r="U22" s="16">
        <f aca="true" t="shared" si="14" ref="U22:U27">S22+T22</f>
        <v>215</v>
      </c>
      <c r="V22" s="23">
        <f t="shared" si="10"/>
        <v>57343.75587906977</v>
      </c>
    </row>
    <row r="23" spans="1:22" ht="12.75">
      <c r="A23" s="2">
        <f>SUM(A22+1)</f>
        <v>2</v>
      </c>
      <c r="B23" s="2" t="s">
        <v>26</v>
      </c>
      <c r="C23" s="71">
        <v>7660007</v>
      </c>
      <c r="D23" s="71">
        <v>2313322</v>
      </c>
      <c r="E23" s="2">
        <v>3961697</v>
      </c>
      <c r="F23" s="2">
        <v>313656</v>
      </c>
      <c r="G23" s="2">
        <v>313656</v>
      </c>
      <c r="H23" s="2"/>
      <c r="I23" s="18">
        <f t="shared" si="11"/>
        <v>3384654</v>
      </c>
      <c r="J23" s="45">
        <f t="shared" si="1"/>
        <v>4275353</v>
      </c>
      <c r="K23" s="45">
        <f t="shared" si="2"/>
        <v>1291156.606</v>
      </c>
      <c r="L23" s="52">
        <f t="shared" si="3"/>
        <v>5566509.606</v>
      </c>
      <c r="M23" s="45">
        <f t="shared" si="4"/>
        <v>3384654</v>
      </c>
      <c r="N23" s="45">
        <f t="shared" si="13"/>
        <v>1022165.5079999999</v>
      </c>
      <c r="O23" s="52">
        <f t="shared" si="6"/>
        <v>4406819.507999999</v>
      </c>
      <c r="P23" s="16"/>
      <c r="Q23" s="16">
        <f t="shared" si="7"/>
        <v>7660007</v>
      </c>
      <c r="R23" s="16">
        <f t="shared" si="8"/>
        <v>2313322.114</v>
      </c>
      <c r="S23" s="16">
        <v>194</v>
      </c>
      <c r="T23" s="16"/>
      <c r="U23" s="16">
        <f t="shared" si="14"/>
        <v>194</v>
      </c>
      <c r="V23" s="23">
        <f t="shared" si="10"/>
        <v>51408.912958762885</v>
      </c>
    </row>
    <row r="24" spans="1:22" ht="12.75">
      <c r="A24" s="2">
        <f>SUM(A23+1)</f>
        <v>3</v>
      </c>
      <c r="B24" s="2" t="s">
        <v>27</v>
      </c>
      <c r="C24" s="71">
        <v>5810647</v>
      </c>
      <c r="D24" s="71">
        <v>1754816</v>
      </c>
      <c r="E24" s="2">
        <v>2667101</v>
      </c>
      <c r="F24" s="2">
        <v>267714</v>
      </c>
      <c r="G24" s="2">
        <v>267714</v>
      </c>
      <c r="H24" s="2"/>
      <c r="I24" s="18">
        <f t="shared" si="11"/>
        <v>2875832</v>
      </c>
      <c r="J24" s="45">
        <f t="shared" si="1"/>
        <v>2934815</v>
      </c>
      <c r="K24" s="45">
        <f t="shared" si="2"/>
        <v>886314.13</v>
      </c>
      <c r="L24" s="52">
        <f t="shared" si="3"/>
        <v>3821129.13</v>
      </c>
      <c r="M24" s="45">
        <f t="shared" si="4"/>
        <v>2875832</v>
      </c>
      <c r="N24" s="45">
        <f t="shared" si="13"/>
        <v>868501.264</v>
      </c>
      <c r="O24" s="52">
        <f t="shared" si="6"/>
        <v>3744333.264</v>
      </c>
      <c r="P24" s="16"/>
      <c r="Q24" s="16">
        <f t="shared" si="7"/>
        <v>5810647</v>
      </c>
      <c r="R24" s="16">
        <f t="shared" si="8"/>
        <v>1754815.3939999999</v>
      </c>
      <c r="S24" s="16">
        <v>148</v>
      </c>
      <c r="T24" s="16"/>
      <c r="U24" s="16">
        <f t="shared" si="14"/>
        <v>148</v>
      </c>
      <c r="V24" s="23">
        <f t="shared" si="10"/>
        <v>51117.989148648645</v>
      </c>
    </row>
    <row r="25" spans="1:22" ht="12.75">
      <c r="A25" s="2">
        <f>SUM(A24+1)</f>
        <v>4</v>
      </c>
      <c r="B25" s="2" t="s">
        <v>40</v>
      </c>
      <c r="C25" s="71">
        <v>5767208</v>
      </c>
      <c r="D25" s="71">
        <v>1741697</v>
      </c>
      <c r="E25" s="2">
        <v>2952127</v>
      </c>
      <c r="F25" s="2">
        <v>326210</v>
      </c>
      <c r="G25" s="2">
        <v>326210</v>
      </c>
      <c r="H25" s="2"/>
      <c r="I25" s="18">
        <f t="shared" si="11"/>
        <v>2488871</v>
      </c>
      <c r="J25" s="45">
        <f t="shared" si="1"/>
        <v>3278337</v>
      </c>
      <c r="K25" s="45">
        <f t="shared" si="2"/>
        <v>990057.774</v>
      </c>
      <c r="L25" s="52">
        <f t="shared" si="3"/>
        <v>4268394.774</v>
      </c>
      <c r="M25" s="45">
        <f t="shared" si="4"/>
        <v>2488871</v>
      </c>
      <c r="N25" s="45">
        <f t="shared" si="13"/>
        <v>751639.042</v>
      </c>
      <c r="O25" s="52">
        <f t="shared" si="6"/>
        <v>3240510.042</v>
      </c>
      <c r="P25" s="16"/>
      <c r="Q25" s="16">
        <f t="shared" si="7"/>
        <v>5767208</v>
      </c>
      <c r="R25" s="16">
        <f t="shared" si="8"/>
        <v>1741696.816</v>
      </c>
      <c r="S25" s="16">
        <v>93</v>
      </c>
      <c r="T25" s="16"/>
      <c r="U25" s="16">
        <f t="shared" si="14"/>
        <v>93</v>
      </c>
      <c r="V25" s="23">
        <f t="shared" si="10"/>
        <v>80740.912</v>
      </c>
    </row>
    <row r="26" spans="1:22" ht="12.75">
      <c r="A26" s="2">
        <f>SUM(A25+1)</f>
        <v>5</v>
      </c>
      <c r="B26" s="2" t="s">
        <v>42</v>
      </c>
      <c r="C26" s="71">
        <v>8706781</v>
      </c>
      <c r="D26" s="71">
        <v>2629448</v>
      </c>
      <c r="E26" s="2">
        <v>4177520</v>
      </c>
      <c r="F26" s="2">
        <v>509709</v>
      </c>
      <c r="G26" s="2">
        <v>509709</v>
      </c>
      <c r="H26" s="2"/>
      <c r="I26" s="18">
        <f t="shared" si="11"/>
        <v>4019552</v>
      </c>
      <c r="J26" s="45">
        <f t="shared" si="1"/>
        <v>4687229</v>
      </c>
      <c r="K26" s="45">
        <f t="shared" si="2"/>
        <v>1415543.158</v>
      </c>
      <c r="L26" s="52">
        <f t="shared" si="3"/>
        <v>6102772.158</v>
      </c>
      <c r="M26" s="45">
        <f t="shared" si="4"/>
        <v>4019552</v>
      </c>
      <c r="N26" s="45">
        <f t="shared" si="13"/>
        <v>1213904.704</v>
      </c>
      <c r="O26" s="52">
        <f t="shared" si="6"/>
        <v>5233456.704</v>
      </c>
      <c r="P26" s="16"/>
      <c r="Q26" s="16">
        <f t="shared" si="7"/>
        <v>8706781</v>
      </c>
      <c r="R26" s="16">
        <f t="shared" si="8"/>
        <v>2629447.8619999997</v>
      </c>
      <c r="S26" s="16">
        <v>200</v>
      </c>
      <c r="T26" s="16"/>
      <c r="U26" s="16">
        <f t="shared" si="14"/>
        <v>200</v>
      </c>
      <c r="V26" s="23">
        <f t="shared" si="10"/>
        <v>56681.144309999996</v>
      </c>
    </row>
    <row r="27" spans="1:22" ht="12.75">
      <c r="A27" s="2">
        <f>SUM(A26+1)</f>
        <v>6</v>
      </c>
      <c r="B27" s="2" t="s">
        <v>32</v>
      </c>
      <c r="C27" s="71">
        <v>1677471</v>
      </c>
      <c r="D27" s="71">
        <v>506596</v>
      </c>
      <c r="E27" s="2">
        <v>681240</v>
      </c>
      <c r="F27" s="2">
        <v>194910</v>
      </c>
      <c r="G27" s="2">
        <v>194910</v>
      </c>
      <c r="H27" s="16"/>
      <c r="I27" s="18">
        <f t="shared" si="11"/>
        <v>801321</v>
      </c>
      <c r="J27" s="45">
        <f t="shared" si="1"/>
        <v>876150</v>
      </c>
      <c r="K27" s="45">
        <f t="shared" si="2"/>
        <v>264597.3</v>
      </c>
      <c r="L27" s="52">
        <f t="shared" si="3"/>
        <v>1140747.3</v>
      </c>
      <c r="M27" s="45">
        <f t="shared" si="4"/>
        <v>801321</v>
      </c>
      <c r="N27" s="45">
        <f t="shared" si="13"/>
        <v>241998.94199999998</v>
      </c>
      <c r="O27" s="52">
        <f t="shared" si="6"/>
        <v>1043319.942</v>
      </c>
      <c r="P27" s="16"/>
      <c r="Q27" s="16">
        <f t="shared" si="7"/>
        <v>1677471</v>
      </c>
      <c r="R27" s="16">
        <f t="shared" si="8"/>
        <v>506596.24199999997</v>
      </c>
      <c r="S27" s="16">
        <v>36</v>
      </c>
      <c r="T27" s="16"/>
      <c r="U27" s="16">
        <f t="shared" si="14"/>
        <v>36</v>
      </c>
      <c r="V27" s="23">
        <f t="shared" si="10"/>
        <v>60668.5345</v>
      </c>
    </row>
    <row r="28" spans="1:22" ht="12.75">
      <c r="A28" s="14">
        <v>6</v>
      </c>
      <c r="B28" s="4" t="s">
        <v>1</v>
      </c>
      <c r="C28" s="17">
        <f aca="true" t="shared" si="15" ref="C28:U28">SUM(C22:C27)</f>
        <v>39091321</v>
      </c>
      <c r="D28" s="17">
        <f t="shared" si="15"/>
        <v>11805579</v>
      </c>
      <c r="E28" s="17">
        <f t="shared" si="15"/>
        <v>19749915</v>
      </c>
      <c r="F28" s="17">
        <f t="shared" si="15"/>
        <v>1938403</v>
      </c>
      <c r="G28" s="17">
        <f t="shared" si="15"/>
        <v>1938403</v>
      </c>
      <c r="H28" s="17">
        <f t="shared" si="15"/>
        <v>0</v>
      </c>
      <c r="I28" s="17">
        <f t="shared" si="15"/>
        <v>17403003</v>
      </c>
      <c r="J28" s="17">
        <f t="shared" si="15"/>
        <v>21688318</v>
      </c>
      <c r="K28" s="17">
        <f t="shared" si="15"/>
        <v>6549872.035999999</v>
      </c>
      <c r="L28" s="17">
        <f t="shared" si="15"/>
        <v>28238190.036</v>
      </c>
      <c r="M28" s="17">
        <f t="shared" si="15"/>
        <v>17403003</v>
      </c>
      <c r="N28" s="17">
        <f t="shared" si="15"/>
        <v>5255706.9059999995</v>
      </c>
      <c r="O28" s="17">
        <f t="shared" si="15"/>
        <v>22658709.906000003</v>
      </c>
      <c r="P28" s="17">
        <f t="shared" si="15"/>
        <v>0</v>
      </c>
      <c r="Q28" s="17">
        <f t="shared" si="15"/>
        <v>39091321</v>
      </c>
      <c r="R28" s="17">
        <f t="shared" si="15"/>
        <v>11805578.942</v>
      </c>
      <c r="S28" s="17">
        <f t="shared" si="15"/>
        <v>886</v>
      </c>
      <c r="T28" s="17">
        <f t="shared" si="15"/>
        <v>0</v>
      </c>
      <c r="U28" s="17">
        <f t="shared" si="15"/>
        <v>886</v>
      </c>
      <c r="V28" s="74">
        <f t="shared" si="10"/>
        <v>57445.71099548533</v>
      </c>
    </row>
    <row r="29" spans="1:22" ht="12.75">
      <c r="A29" s="2">
        <v>1</v>
      </c>
      <c r="B29" s="39" t="s">
        <v>35</v>
      </c>
      <c r="C29" s="46">
        <v>2718805</v>
      </c>
      <c r="D29" s="46">
        <v>821079</v>
      </c>
      <c r="E29" s="2">
        <v>1754664</v>
      </c>
      <c r="F29" s="2">
        <v>315479</v>
      </c>
      <c r="G29" s="2">
        <v>315479</v>
      </c>
      <c r="H29" s="2"/>
      <c r="I29" s="18">
        <f t="shared" si="11"/>
        <v>648662</v>
      </c>
      <c r="J29" s="45">
        <f t="shared" si="1"/>
        <v>2070143</v>
      </c>
      <c r="K29" s="45">
        <f t="shared" si="2"/>
        <v>625183.186</v>
      </c>
      <c r="L29" s="52">
        <f t="shared" si="3"/>
        <v>2695326.1859999998</v>
      </c>
      <c r="M29" s="45">
        <f t="shared" si="4"/>
        <v>648662</v>
      </c>
      <c r="N29" s="45">
        <f>M29*0.302</f>
        <v>195895.924</v>
      </c>
      <c r="O29" s="52">
        <f t="shared" si="6"/>
        <v>844557.924</v>
      </c>
      <c r="P29" s="16"/>
      <c r="Q29" s="16">
        <f t="shared" si="7"/>
        <v>2718805</v>
      </c>
      <c r="R29" s="16">
        <f t="shared" si="8"/>
        <v>821079.11</v>
      </c>
      <c r="S29" s="16">
        <v>1216</v>
      </c>
      <c r="T29" s="16"/>
      <c r="U29" s="16">
        <f>S29+T29</f>
        <v>1216</v>
      </c>
      <c r="V29" s="23">
        <f t="shared" si="10"/>
        <v>2911.08890625</v>
      </c>
    </row>
    <row r="30" spans="1:22" ht="12.75">
      <c r="A30" s="2">
        <f>SUM(A29+1)</f>
        <v>2</v>
      </c>
      <c r="B30" s="41" t="s">
        <v>43</v>
      </c>
      <c r="C30" s="46">
        <v>3720720</v>
      </c>
      <c r="D30" s="46">
        <v>1123657</v>
      </c>
      <c r="E30" s="2">
        <v>3720720</v>
      </c>
      <c r="F30" s="2"/>
      <c r="G30" s="16"/>
      <c r="H30" s="2"/>
      <c r="I30" s="18">
        <f t="shared" si="11"/>
        <v>0</v>
      </c>
      <c r="J30" s="19">
        <f t="shared" si="1"/>
        <v>3720720</v>
      </c>
      <c r="K30" s="19">
        <f t="shared" si="2"/>
        <v>1123657.44</v>
      </c>
      <c r="L30" s="52">
        <f t="shared" si="3"/>
        <v>4844377.4399999995</v>
      </c>
      <c r="M30" s="45">
        <f t="shared" si="4"/>
        <v>0</v>
      </c>
      <c r="N30" s="45">
        <f>M30*0.302</f>
        <v>0</v>
      </c>
      <c r="O30" s="52">
        <f t="shared" si="6"/>
        <v>0</v>
      </c>
      <c r="P30" s="16"/>
      <c r="Q30" s="16">
        <f t="shared" si="7"/>
        <v>3720720</v>
      </c>
      <c r="R30" s="16">
        <f t="shared" si="8"/>
        <v>1123657.44</v>
      </c>
      <c r="S30" s="16">
        <v>1135</v>
      </c>
      <c r="T30" s="16"/>
      <c r="U30" s="16">
        <f>S30+T30</f>
        <v>1135</v>
      </c>
      <c r="V30" s="23">
        <f>(L30+O30+L31+O31)/U30</f>
        <v>10634.846125110133</v>
      </c>
    </row>
    <row r="31" spans="1:22" ht="12.75">
      <c r="A31" s="2">
        <f>SUM(A30+1)</f>
        <v>3</v>
      </c>
      <c r="B31" s="41" t="s">
        <v>38</v>
      </c>
      <c r="C31" s="46">
        <v>5550056</v>
      </c>
      <c r="D31" s="46">
        <v>1676117</v>
      </c>
      <c r="E31" s="2"/>
      <c r="F31" s="2">
        <v>744776</v>
      </c>
      <c r="G31" s="2">
        <v>744776</v>
      </c>
      <c r="H31" s="2"/>
      <c r="I31" s="18">
        <f t="shared" si="11"/>
        <v>4805280</v>
      </c>
      <c r="J31" s="19">
        <f>E31+G31</f>
        <v>744776</v>
      </c>
      <c r="K31" s="19">
        <f t="shared" si="2"/>
        <v>224922.35199999998</v>
      </c>
      <c r="L31" s="52">
        <f t="shared" si="3"/>
        <v>969698.352</v>
      </c>
      <c r="M31" s="45">
        <f>H31+I31</f>
        <v>4805280</v>
      </c>
      <c r="N31" s="45">
        <f>M31*0.302</f>
        <v>1451194.56</v>
      </c>
      <c r="O31" s="52">
        <f t="shared" si="6"/>
        <v>6256474.5600000005</v>
      </c>
      <c r="P31" s="16"/>
      <c r="Q31" s="16">
        <f t="shared" si="7"/>
        <v>5550056</v>
      </c>
      <c r="R31" s="16">
        <f t="shared" si="8"/>
        <v>1676116.912</v>
      </c>
      <c r="S31" s="16"/>
      <c r="T31" s="55"/>
      <c r="U31" s="16">
        <f>S31+T31</f>
        <v>0</v>
      </c>
      <c r="V31" s="23" t="e">
        <f t="shared" si="10"/>
        <v>#DIV/0!</v>
      </c>
    </row>
    <row r="32" spans="1:22" ht="12.75">
      <c r="A32" s="2">
        <f>SUM(A31+1)</f>
        <v>4</v>
      </c>
      <c r="B32" s="40" t="s">
        <v>39</v>
      </c>
      <c r="C32" s="46">
        <v>5309217</v>
      </c>
      <c r="D32" s="46">
        <v>1603384</v>
      </c>
      <c r="E32" s="38">
        <v>3342380</v>
      </c>
      <c r="F32" s="38">
        <v>453590</v>
      </c>
      <c r="G32" s="38">
        <v>453590</v>
      </c>
      <c r="H32" s="38"/>
      <c r="I32" s="18">
        <f t="shared" si="11"/>
        <v>1513247</v>
      </c>
      <c r="J32" s="45">
        <f t="shared" si="1"/>
        <v>3795970</v>
      </c>
      <c r="K32" s="45">
        <f t="shared" si="2"/>
        <v>1146382.94</v>
      </c>
      <c r="L32" s="52">
        <f t="shared" si="3"/>
        <v>4942352.9399999995</v>
      </c>
      <c r="M32" s="45">
        <f t="shared" si="4"/>
        <v>1513247</v>
      </c>
      <c r="N32" s="45">
        <v>457000</v>
      </c>
      <c r="O32" s="52">
        <f t="shared" si="6"/>
        <v>1970247</v>
      </c>
      <c r="P32" s="16"/>
      <c r="Q32" s="16">
        <f t="shared" si="7"/>
        <v>5309217</v>
      </c>
      <c r="R32" s="16">
        <f t="shared" si="8"/>
        <v>1603382.94</v>
      </c>
      <c r="S32" s="55">
        <v>271</v>
      </c>
      <c r="T32" s="55"/>
      <c r="U32" s="16">
        <f>S32+T32</f>
        <v>271</v>
      </c>
      <c r="V32" s="23">
        <f t="shared" si="10"/>
        <v>25507.748856088558</v>
      </c>
    </row>
    <row r="33" spans="1:22" ht="12.75">
      <c r="A33" s="14">
        <v>3</v>
      </c>
      <c r="B33" s="4" t="s">
        <v>1</v>
      </c>
      <c r="C33" s="28">
        <f aca="true" t="shared" si="16" ref="C33:O33">SUM(C29:C32)</f>
        <v>17298798</v>
      </c>
      <c r="D33" s="28">
        <f t="shared" si="16"/>
        <v>5224237</v>
      </c>
      <c r="E33" s="28">
        <f t="shared" si="16"/>
        <v>8817764</v>
      </c>
      <c r="F33" s="28">
        <f t="shared" si="16"/>
        <v>1513845</v>
      </c>
      <c r="G33" s="28">
        <f>G29+G31+G32</f>
        <v>1513845</v>
      </c>
      <c r="H33" s="28">
        <f t="shared" si="16"/>
        <v>0</v>
      </c>
      <c r="I33" s="28">
        <f t="shared" si="16"/>
        <v>6967189</v>
      </c>
      <c r="J33" s="28">
        <f t="shared" si="16"/>
        <v>10331609</v>
      </c>
      <c r="K33" s="28">
        <f t="shared" si="16"/>
        <v>3120145.9179999996</v>
      </c>
      <c r="L33" s="28">
        <f t="shared" si="16"/>
        <v>13451754.918</v>
      </c>
      <c r="M33" s="28">
        <f t="shared" si="16"/>
        <v>6967189</v>
      </c>
      <c r="N33" s="28">
        <f t="shared" si="16"/>
        <v>2104090.484</v>
      </c>
      <c r="O33" s="28">
        <f t="shared" si="16"/>
        <v>9071279.484000001</v>
      </c>
      <c r="P33" s="28">
        <f aca="true" t="shared" si="17" ref="P33:U33">SUM(P29:P32)</f>
        <v>0</v>
      </c>
      <c r="Q33" s="28">
        <f t="shared" si="17"/>
        <v>17298798</v>
      </c>
      <c r="R33" s="28">
        <f t="shared" si="17"/>
        <v>5224236.402</v>
      </c>
      <c r="S33" s="28">
        <f t="shared" si="17"/>
        <v>2622</v>
      </c>
      <c r="T33" s="28">
        <f t="shared" si="17"/>
        <v>0</v>
      </c>
      <c r="U33" s="28">
        <f t="shared" si="17"/>
        <v>2622</v>
      </c>
      <c r="V33" s="74">
        <f>(L33+O33)/U33</f>
        <v>8590.020748283754</v>
      </c>
    </row>
    <row r="34" spans="2:19" ht="12.75">
      <c r="B34" s="11"/>
      <c r="C34" s="47"/>
      <c r="D34" s="47"/>
      <c r="E34" s="47"/>
      <c r="F34" s="47"/>
      <c r="G34" s="47"/>
      <c r="H34" s="47"/>
      <c r="I34" s="47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9" ht="12.75">
      <c r="B35" s="6" t="s">
        <v>56</v>
      </c>
      <c r="C35" s="6"/>
      <c r="D35" s="6"/>
      <c r="E35" s="6"/>
      <c r="F35" s="6"/>
      <c r="G35" s="6"/>
      <c r="H35" s="6"/>
      <c r="I35" s="6"/>
    </row>
    <row r="36" spans="2:14" ht="12.75">
      <c r="B36" s="8"/>
      <c r="C36" s="8"/>
      <c r="D36" s="8"/>
      <c r="E36" s="8"/>
      <c r="F36" s="8"/>
      <c r="G36" s="8"/>
      <c r="H36" s="8"/>
      <c r="I36" s="8"/>
      <c r="J36" s="9"/>
      <c r="K36" s="9"/>
      <c r="L36" s="9"/>
      <c r="M36" s="9"/>
      <c r="N36" s="9"/>
    </row>
    <row r="37" spans="2:14" ht="12.75">
      <c r="B37" s="8"/>
      <c r="C37" s="8"/>
      <c r="D37" s="8"/>
      <c r="E37" s="8"/>
      <c r="F37" s="8"/>
      <c r="G37" s="8"/>
      <c r="H37" s="8"/>
      <c r="I37" s="8"/>
      <c r="J37" s="9"/>
      <c r="K37" s="9"/>
      <c r="L37" s="9"/>
      <c r="M37" s="9"/>
      <c r="N37" s="9"/>
    </row>
  </sheetData>
  <sheetProtection/>
  <mergeCells count="4">
    <mergeCell ref="E1:Q1"/>
    <mergeCell ref="E4:I4"/>
    <mergeCell ref="B2:J2"/>
    <mergeCell ref="S4:U4"/>
  </mergeCells>
  <printOptions/>
  <pageMargins left="0.2" right="0.2" top="0.52" bottom="0.49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 Ядринский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экономисты</dc:creator>
  <cp:keywords/>
  <dc:description/>
  <cp:lastModifiedBy>методист</cp:lastModifiedBy>
  <cp:lastPrinted>2019-03-04T11:47:30Z</cp:lastPrinted>
  <dcterms:created xsi:type="dcterms:W3CDTF">2010-07-16T07:55:44Z</dcterms:created>
  <dcterms:modified xsi:type="dcterms:W3CDTF">2019-06-18T11:53:48Z</dcterms:modified>
  <cp:category/>
  <cp:version/>
  <cp:contentType/>
  <cp:contentStatus/>
</cp:coreProperties>
</file>